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Е ОТЧЕТЫ\ОТЧЕТЫ АФР\Отчетность KASE\"/>
    </mc:Choice>
  </mc:AlternateContent>
  <xr:revisionPtr revIDLastSave="0" documentId="13_ncr:1_{6A37BA21-1A0B-48D3-840F-B643C1B53506}" xr6:coauthVersionLast="47" xr6:coauthVersionMax="47" xr10:uidLastSave="{00000000-0000-0000-0000-000000000000}"/>
  <bookViews>
    <workbookView xWindow="-120" yWindow="-120" windowWidth="29040" windowHeight="15840" tabRatio="730" firstSheet="2" activeTab="5" xr2:uid="{00000000-000D-0000-FFFF-FFFF00000000}"/>
  </bookViews>
  <sheets>
    <sheet name="Баланс консолид UDC" sheetId="30" state="hidden" r:id="rId1"/>
    <sheet name="Баланс UDC Astana" sheetId="29" state="hidden" r:id="rId2"/>
    <sheet name="Баланс UDC" sheetId="4" r:id="rId3"/>
    <sheet name="ОПУ консолид UDC" sheetId="32" state="hidden" r:id="rId4"/>
    <sheet name="ОПУ UDC Astana" sheetId="31" state="hidden" r:id="rId5"/>
    <sheet name="ОПУ UDC" sheetId="5" r:id="rId6"/>
    <sheet name="ОФП" sheetId="21" state="hidden" r:id="rId7"/>
    <sheet name="ОПУ и ПСД" sheetId="22" state="hidden" r:id="rId8"/>
    <sheet name="ОИК" sheetId="23" state="hidden" r:id="rId9"/>
    <sheet name="ОДДС прям" sheetId="28" state="hidden" r:id="rId10"/>
    <sheet name="ОДДС" sheetId="24" state="hidden" r:id="rId11"/>
  </sheets>
  <definedNames>
    <definedName name="_xlnm.Print_Area" localSheetId="2">'Баланс UDC'!$A$1:$D$128</definedName>
    <definedName name="_xlnm.Print_Area" localSheetId="1">'Баланс UDC Astana'!$A$1:$E$128</definedName>
    <definedName name="_xlnm.Print_Area" localSheetId="0">'Баланс консолид UDC'!$A$1:$E$128</definedName>
    <definedName name="_xlnm.Print_Area" localSheetId="10">ОДДС!$A$1:$C$47</definedName>
    <definedName name="_xlnm.Print_Area" localSheetId="5">'ОПУ UDC'!$A$1:$F$126</definedName>
    <definedName name="_xlnm.Print_Area" localSheetId="4">'ОПУ UDC Astana'!$A$1:$H$126</definedName>
    <definedName name="_xlnm.Print_Area" localSheetId="3">'ОПУ консолид UDC'!$A$1:$F$126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32" l="1"/>
  <c r="E109" i="32"/>
  <c r="F107" i="32"/>
  <c r="E107" i="32"/>
  <c r="D107" i="32"/>
  <c r="C107" i="32"/>
  <c r="F106" i="32"/>
  <c r="E106" i="32"/>
  <c r="F104" i="32"/>
  <c r="E104" i="32"/>
  <c r="F102" i="32"/>
  <c r="E102" i="32"/>
  <c r="F100" i="32"/>
  <c r="E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F94" i="32"/>
  <c r="E94" i="32"/>
  <c r="D94" i="32"/>
  <c r="F93" i="32"/>
  <c r="E93" i="32"/>
  <c r="D93" i="32"/>
  <c r="F91" i="32"/>
  <c r="E91" i="32"/>
  <c r="F90" i="32"/>
  <c r="E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4" i="32"/>
  <c r="E84" i="32"/>
  <c r="D84" i="32"/>
  <c r="C84" i="32"/>
  <c r="F83" i="32"/>
  <c r="E83" i="32"/>
  <c r="D83" i="32"/>
  <c r="F82" i="32"/>
  <c r="E82" i="32"/>
  <c r="F81" i="32"/>
  <c r="E81" i="32"/>
  <c r="D81" i="32"/>
  <c r="F80" i="32"/>
  <c r="E80" i="32"/>
  <c r="F79" i="32"/>
  <c r="E79" i="32"/>
  <c r="F78" i="32"/>
  <c r="E78" i="32"/>
  <c r="F77" i="32"/>
  <c r="E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0" i="32"/>
  <c r="E70" i="32"/>
  <c r="D70" i="32"/>
  <c r="F69" i="32"/>
  <c r="E69" i="32"/>
  <c r="D69" i="32"/>
  <c r="F68" i="32"/>
  <c r="E68" i="32"/>
  <c r="F67" i="32"/>
  <c r="E67" i="32"/>
  <c r="F66" i="32"/>
  <c r="E66" i="32"/>
  <c r="F65" i="32"/>
  <c r="E65" i="32"/>
  <c r="F64" i="32"/>
  <c r="E64" i="32"/>
  <c r="D64" i="32"/>
  <c r="C64" i="32"/>
  <c r="F62" i="32"/>
  <c r="E62" i="32"/>
  <c r="F61" i="32"/>
  <c r="E61" i="32"/>
  <c r="D61" i="32"/>
  <c r="C61" i="32"/>
  <c r="F60" i="32"/>
  <c r="E60" i="32"/>
  <c r="F59" i="32"/>
  <c r="E59" i="32"/>
  <c r="D59" i="32"/>
  <c r="C59" i="32"/>
  <c r="F58" i="32"/>
  <c r="E58" i="32"/>
  <c r="D58" i="32"/>
  <c r="C58" i="32"/>
  <c r="F56" i="32"/>
  <c r="E56" i="32"/>
  <c r="F55" i="32"/>
  <c r="E55" i="32"/>
  <c r="F54" i="32"/>
  <c r="E54" i="32"/>
  <c r="D54" i="32"/>
  <c r="F53" i="32"/>
  <c r="E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7" i="32"/>
  <c r="E47" i="32"/>
  <c r="D47" i="32"/>
  <c r="C47" i="32"/>
  <c r="F46" i="32"/>
  <c r="E46" i="32"/>
  <c r="D46" i="32"/>
  <c r="C46" i="32"/>
  <c r="F45" i="32"/>
  <c r="E45" i="32"/>
  <c r="F44" i="32"/>
  <c r="E44" i="32"/>
  <c r="D44" i="32"/>
  <c r="C44" i="32"/>
  <c r="F43" i="32"/>
  <c r="E43" i="32"/>
  <c r="F42" i="32"/>
  <c r="E42" i="32"/>
  <c r="F41" i="32"/>
  <c r="E41" i="32"/>
  <c r="F40" i="32"/>
  <c r="E40" i="32"/>
  <c r="F39" i="32"/>
  <c r="E39" i="32"/>
  <c r="D39" i="32"/>
  <c r="F38" i="32"/>
  <c r="E38" i="32"/>
  <c r="D38" i="32"/>
  <c r="F37" i="32"/>
  <c r="E37" i="32"/>
  <c r="F36" i="32"/>
  <c r="E36" i="32"/>
  <c r="D36" i="32"/>
  <c r="F35" i="32"/>
  <c r="E35" i="32"/>
  <c r="F34" i="32"/>
  <c r="E34" i="32"/>
  <c r="F33" i="32"/>
  <c r="E33" i="32"/>
  <c r="D33" i="32"/>
  <c r="F32" i="32"/>
  <c r="E32" i="32"/>
  <c r="F31" i="32"/>
  <c r="E31" i="32"/>
  <c r="F30" i="32"/>
  <c r="E30" i="32"/>
  <c r="D30" i="32"/>
  <c r="F28" i="32"/>
  <c r="E28" i="32"/>
  <c r="F26" i="32"/>
  <c r="E26" i="32"/>
  <c r="F25" i="32"/>
  <c r="E25" i="32"/>
  <c r="D25" i="32"/>
  <c r="C25" i="32"/>
  <c r="F24" i="32"/>
  <c r="E24" i="32"/>
  <c r="F23" i="32"/>
  <c r="E23" i="32"/>
  <c r="D23" i="32"/>
  <c r="C23" i="32"/>
  <c r="F22" i="32"/>
  <c r="E22" i="32"/>
  <c r="D22" i="32"/>
  <c r="C22" i="32"/>
  <c r="F21" i="32"/>
  <c r="E21" i="32"/>
  <c r="F20" i="32"/>
  <c r="E20" i="32"/>
  <c r="D20" i="32"/>
  <c r="F19" i="32"/>
  <c r="E19" i="32"/>
  <c r="D19" i="32"/>
  <c r="F18" i="32"/>
  <c r="E18" i="32"/>
  <c r="D18" i="32"/>
  <c r="C18" i="32"/>
  <c r="F17" i="32"/>
  <c r="E17" i="32"/>
  <c r="F16" i="32"/>
  <c r="E16" i="32"/>
  <c r="F15" i="32"/>
  <c r="E15" i="32"/>
  <c r="F14" i="32"/>
  <c r="E14" i="32"/>
  <c r="D14" i="32"/>
  <c r="C14" i="32"/>
  <c r="F13" i="32"/>
  <c r="E13" i="32"/>
  <c r="F11" i="32"/>
  <c r="E11" i="32"/>
  <c r="F10" i="32"/>
  <c r="E10" i="32"/>
  <c r="D10" i="32"/>
  <c r="C10" i="32"/>
  <c r="E8" i="32"/>
  <c r="F8" i="32"/>
  <c r="B126" i="32"/>
  <c r="B122" i="32"/>
  <c r="B4" i="32"/>
  <c r="A4" i="32"/>
  <c r="A3" i="32"/>
  <c r="D110" i="31"/>
  <c r="D10" i="31"/>
  <c r="C10" i="31" s="1"/>
  <c r="D95" i="31"/>
  <c r="D34" i="31"/>
  <c r="C34" i="31" s="1"/>
  <c r="D37" i="31"/>
  <c r="C37" i="31" s="1"/>
  <c r="D32" i="31"/>
  <c r="K49" i="31"/>
  <c r="D104" i="31" s="1"/>
  <c r="C104" i="31" s="1"/>
  <c r="K48" i="31"/>
  <c r="K36" i="31"/>
  <c r="K30" i="31"/>
  <c r="L25" i="31"/>
  <c r="L18" i="31"/>
  <c r="K11" i="31"/>
  <c r="M21" i="31"/>
  <c r="L27" i="31"/>
  <c r="M27" i="31"/>
  <c r="D80" i="31"/>
  <c r="C80" i="31" s="1"/>
  <c r="D66" i="31"/>
  <c r="C66" i="31" s="1"/>
  <c r="D65" i="31"/>
  <c r="B126" i="31"/>
  <c r="B122" i="31"/>
  <c r="C99" i="31"/>
  <c r="C98" i="31"/>
  <c r="C97" i="31"/>
  <c r="C96" i="31"/>
  <c r="C94" i="31"/>
  <c r="C93" i="31"/>
  <c r="D90" i="31"/>
  <c r="C90" i="31" s="1"/>
  <c r="C89" i="31"/>
  <c r="C88" i="31"/>
  <c r="C87" i="31"/>
  <c r="C86" i="31"/>
  <c r="C83" i="31"/>
  <c r="D82" i="31"/>
  <c r="C82" i="31" s="1"/>
  <c r="C81" i="31"/>
  <c r="D79" i="31"/>
  <c r="C79" i="31" s="1"/>
  <c r="D77" i="31"/>
  <c r="C77" i="31" s="1"/>
  <c r="C76" i="31"/>
  <c r="C75" i="31"/>
  <c r="C74" i="31"/>
  <c r="C73" i="31"/>
  <c r="C72" i="31"/>
  <c r="C69" i="31"/>
  <c r="D68" i="31"/>
  <c r="C68" i="31" s="1"/>
  <c r="C54" i="31"/>
  <c r="D53" i="31"/>
  <c r="C53" i="31"/>
  <c r="C52" i="31"/>
  <c r="C51" i="31"/>
  <c r="C50" i="31"/>
  <c r="C49" i="31"/>
  <c r="D67" i="31"/>
  <c r="C67" i="31" s="1"/>
  <c r="D45" i="31"/>
  <c r="C45" i="31"/>
  <c r="D42" i="31"/>
  <c r="C42" i="31" s="1"/>
  <c r="D78" i="31"/>
  <c r="C78" i="31" s="1"/>
  <c r="C39" i="31"/>
  <c r="C38" i="31"/>
  <c r="C36" i="31"/>
  <c r="D60" i="31"/>
  <c r="C33" i="31"/>
  <c r="C30" i="31"/>
  <c r="D40" i="31"/>
  <c r="C40" i="31" s="1"/>
  <c r="C20" i="31"/>
  <c r="D35" i="31"/>
  <c r="C35" i="31" s="1"/>
  <c r="C19" i="31"/>
  <c r="D17" i="31"/>
  <c r="C17" i="31" s="1"/>
  <c r="D24" i="31"/>
  <c r="C24" i="31" s="1"/>
  <c r="D15" i="31"/>
  <c r="C15" i="31" s="1"/>
  <c r="D21" i="31"/>
  <c r="C21" i="31" s="1"/>
  <c r="B4" i="31"/>
  <c r="A4" i="31"/>
  <c r="A3" i="31"/>
  <c r="C32" i="31" l="1"/>
  <c r="L50" i="31"/>
  <c r="L53" i="31" s="1"/>
  <c r="K50" i="31"/>
  <c r="K53" i="31" s="1"/>
  <c r="M25" i="31"/>
  <c r="D16" i="31"/>
  <c r="D13" i="31" s="1"/>
  <c r="D56" i="31"/>
  <c r="C60" i="31"/>
  <c r="C56" i="31" s="1"/>
  <c r="C65" i="31"/>
  <c r="C62" i="31" s="1"/>
  <c r="D62" i="31"/>
  <c r="C95" i="31"/>
  <c r="C91" i="31" s="1"/>
  <c r="D91" i="31"/>
  <c r="D31" i="31"/>
  <c r="D41" i="31"/>
  <c r="C41" i="31" s="1"/>
  <c r="D43" i="31"/>
  <c r="C43" i="31" s="1"/>
  <c r="L51" i="31" l="1"/>
  <c r="C16" i="31"/>
  <c r="C100" i="31"/>
  <c r="D100" i="31"/>
  <c r="K54" i="31" s="1"/>
  <c r="D28" i="31"/>
  <c r="C31" i="31"/>
  <c r="D11" i="31"/>
  <c r="D8" i="31" s="1"/>
  <c r="C13" i="31"/>
  <c r="C11" i="31" s="1"/>
  <c r="C8" i="31" s="1"/>
  <c r="D17" i="32"/>
  <c r="C28" i="31" l="1"/>
  <c r="C26" i="31" s="1"/>
  <c r="C55" i="31" s="1"/>
  <c r="C102" i="31" s="1"/>
  <c r="C106" i="31" s="1"/>
  <c r="C109" i="31" s="1"/>
  <c r="D26" i="31"/>
  <c r="D55" i="31" s="1"/>
  <c r="L54" i="31" s="1"/>
  <c r="C98" i="30"/>
  <c r="C96" i="30"/>
  <c r="C106" i="30"/>
  <c r="C105" i="30"/>
  <c r="C104" i="30"/>
  <c r="C102" i="30"/>
  <c r="C101" i="30"/>
  <c r="C100" i="30"/>
  <c r="C99" i="30"/>
  <c r="C93" i="30"/>
  <c r="I93" i="30" s="1"/>
  <c r="C92" i="30"/>
  <c r="C89" i="30"/>
  <c r="I89" i="30" s="1"/>
  <c r="C87" i="30"/>
  <c r="I87" i="30" s="1"/>
  <c r="C86" i="30"/>
  <c r="I86" i="30" s="1"/>
  <c r="C85" i="30"/>
  <c r="C84" i="30"/>
  <c r="I84" i="30" s="1"/>
  <c r="C82" i="30"/>
  <c r="I82" i="30" s="1"/>
  <c r="C81" i="30"/>
  <c r="I81" i="30" s="1"/>
  <c r="C80" i="30"/>
  <c r="I80" i="30" s="1"/>
  <c r="C79" i="30"/>
  <c r="I79" i="30" s="1"/>
  <c r="C78" i="30"/>
  <c r="C77" i="30"/>
  <c r="I77" i="30" s="1"/>
  <c r="C76" i="30"/>
  <c r="I76" i="30" s="1"/>
  <c r="C75" i="30"/>
  <c r="I75" i="30" s="1"/>
  <c r="C74" i="30"/>
  <c r="I74" i="30" s="1"/>
  <c r="C73" i="30"/>
  <c r="I73" i="30" s="1"/>
  <c r="C72" i="30"/>
  <c r="I72" i="30" s="1"/>
  <c r="C71" i="30"/>
  <c r="I71" i="30" s="1"/>
  <c r="C67" i="30"/>
  <c r="I67" i="30" s="1"/>
  <c r="C65" i="30"/>
  <c r="I65" i="30" s="1"/>
  <c r="C64" i="30"/>
  <c r="I64" i="30" s="1"/>
  <c r="C63" i="30"/>
  <c r="I63" i="30" s="1"/>
  <c r="C62" i="30"/>
  <c r="I62" i="30" s="1"/>
  <c r="C55" i="30"/>
  <c r="I55" i="30" s="1"/>
  <c r="C54" i="30"/>
  <c r="C53" i="30"/>
  <c r="I53" i="30" s="1"/>
  <c r="C52" i="30"/>
  <c r="I52" i="30" s="1"/>
  <c r="C50" i="30"/>
  <c r="I50" i="30" s="1"/>
  <c r="C48" i="30"/>
  <c r="C47" i="30"/>
  <c r="I47" i="30" s="1"/>
  <c r="C46" i="30"/>
  <c r="C45" i="30"/>
  <c r="I45" i="30" s="1"/>
  <c r="C44" i="30"/>
  <c r="I44" i="30" s="1"/>
  <c r="C43" i="30"/>
  <c r="I43" i="30" s="1"/>
  <c r="C42" i="30"/>
  <c r="I42" i="30" s="1"/>
  <c r="C41" i="30"/>
  <c r="I41" i="30" s="1"/>
  <c r="C40" i="30"/>
  <c r="C35" i="30"/>
  <c r="I35" i="30" s="1"/>
  <c r="C32" i="30"/>
  <c r="I30" i="30"/>
  <c r="C29" i="30"/>
  <c r="I29" i="30" s="1"/>
  <c r="C16" i="30"/>
  <c r="I16" i="30" s="1"/>
  <c r="C13" i="30"/>
  <c r="I13" i="30" s="1"/>
  <c r="C88" i="29"/>
  <c r="I88" i="29" s="1"/>
  <c r="C109" i="29"/>
  <c r="C98" i="29"/>
  <c r="C96" i="29"/>
  <c r="C91" i="29"/>
  <c r="C58" i="29"/>
  <c r="I58" i="29" s="1"/>
  <c r="C16" i="29"/>
  <c r="C14" i="29"/>
  <c r="C12" i="29"/>
  <c r="I12" i="29" s="1"/>
  <c r="B124" i="30"/>
  <c r="I85" i="30"/>
  <c r="I83" i="30"/>
  <c r="I78" i="30"/>
  <c r="I70" i="30"/>
  <c r="I61" i="30"/>
  <c r="I54" i="30"/>
  <c r="I51" i="30"/>
  <c r="I48" i="30"/>
  <c r="I46" i="30"/>
  <c r="I40" i="30"/>
  <c r="I38" i="30"/>
  <c r="I32" i="30"/>
  <c r="I27" i="30"/>
  <c r="F25" i="30"/>
  <c r="I24" i="30"/>
  <c r="I21" i="30"/>
  <c r="I18" i="30"/>
  <c r="G18" i="30"/>
  <c r="F16" i="30"/>
  <c r="I15" i="30"/>
  <c r="G15" i="30"/>
  <c r="F14" i="30"/>
  <c r="I10" i="30"/>
  <c r="B124" i="29"/>
  <c r="I103" i="29"/>
  <c r="I93" i="29"/>
  <c r="I91" i="29"/>
  <c r="I90" i="29"/>
  <c r="I89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C59" i="29"/>
  <c r="I59" i="29" s="1"/>
  <c r="I57" i="29"/>
  <c r="C56" i="29"/>
  <c r="I56" i="29" s="1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C39" i="29"/>
  <c r="I38" i="29"/>
  <c r="I36" i="29"/>
  <c r="I35" i="29"/>
  <c r="I34" i="29"/>
  <c r="I33" i="29"/>
  <c r="I32" i="29"/>
  <c r="I31" i="29"/>
  <c r="I30" i="29"/>
  <c r="I29" i="29"/>
  <c r="I28" i="29"/>
  <c r="I27" i="29"/>
  <c r="I26" i="29"/>
  <c r="F25" i="29"/>
  <c r="G25" i="29" s="1"/>
  <c r="I24" i="29"/>
  <c r="I23" i="29"/>
  <c r="I22" i="29"/>
  <c r="I21" i="29"/>
  <c r="I20" i="29"/>
  <c r="G19" i="29"/>
  <c r="I19" i="29"/>
  <c r="I18" i="29"/>
  <c r="G18" i="29"/>
  <c r="I17" i="29"/>
  <c r="I16" i="29"/>
  <c r="F16" i="29"/>
  <c r="I15" i="29"/>
  <c r="G15" i="29"/>
  <c r="F14" i="29"/>
  <c r="I13" i="29"/>
  <c r="G13" i="29"/>
  <c r="C11" i="29"/>
  <c r="C11" i="30" s="1"/>
  <c r="I11" i="30" s="1"/>
  <c r="I10" i="29"/>
  <c r="D102" i="31" l="1"/>
  <c r="D106" i="31" s="1"/>
  <c r="D109" i="31" s="1"/>
  <c r="I39" i="29"/>
  <c r="I11" i="29"/>
  <c r="G13" i="30"/>
  <c r="G14" i="29"/>
  <c r="C110" i="29"/>
  <c r="C107" i="29" s="1"/>
  <c r="C111" i="29" s="1"/>
  <c r="G16" i="29"/>
  <c r="G16" i="30"/>
  <c r="I14" i="29"/>
  <c r="C14" i="30"/>
  <c r="I37" i="29"/>
  <c r="I25" i="29"/>
  <c r="C94" i="29"/>
  <c r="C9" i="29"/>
  <c r="C60" i="29" s="1"/>
  <c r="J112" i="29" s="1"/>
  <c r="C58" i="30"/>
  <c r="I58" i="30" s="1"/>
  <c r="G14" i="30" l="1"/>
  <c r="I14" i="30"/>
  <c r="C112" i="29"/>
  <c r="I9" i="29"/>
  <c r="F20" i="29" l="1"/>
  <c r="G20" i="29" s="1"/>
  <c r="F20" i="30"/>
  <c r="F23" i="30"/>
  <c r="F23" i="29"/>
  <c r="G23" i="29" s="1"/>
  <c r="C113" i="29"/>
  <c r="I60" i="29"/>
  <c r="F60" i="29"/>
  <c r="C88" i="30" l="1"/>
  <c r="I88" i="30" s="1"/>
  <c r="C59" i="30"/>
  <c r="I59" i="30" s="1"/>
  <c r="F68" i="30" l="1"/>
  <c r="F68" i="29"/>
  <c r="G68" i="29" s="1"/>
  <c r="F12" i="29" l="1"/>
  <c r="G12" i="29" s="1"/>
  <c r="F12" i="30"/>
  <c r="C93" i="32"/>
  <c r="C91" i="30" l="1"/>
  <c r="I91" i="30" s="1"/>
  <c r="D31" i="32"/>
  <c r="D15" i="32"/>
  <c r="D60" i="28" l="1"/>
  <c r="D73" i="28" s="1"/>
  <c r="D76" i="28" s="1"/>
  <c r="C60" i="28"/>
  <c r="C73" i="28" s="1"/>
  <c r="D66" i="28"/>
  <c r="C66" i="28"/>
  <c r="D58" i="28"/>
  <c r="D43" i="28"/>
  <c r="C43" i="28"/>
  <c r="C58" i="28" s="1"/>
  <c r="D29" i="28"/>
  <c r="C29" i="28"/>
  <c r="D27" i="28"/>
  <c r="C27" i="28"/>
  <c r="D18" i="28"/>
  <c r="C18" i="28"/>
  <c r="C10" i="28"/>
  <c r="C76" i="28" l="1"/>
  <c r="D67" i="32"/>
  <c r="D79" i="32"/>
  <c r="D65" i="32"/>
  <c r="D66" i="32"/>
  <c r="C36" i="30" l="1"/>
  <c r="I36" i="30" s="1"/>
  <c r="C103" i="30" l="1"/>
  <c r="C109" i="30"/>
  <c r="I103" i="30" l="1"/>
  <c r="D80" i="32" l="1"/>
  <c r="D41" i="32"/>
  <c r="D35" i="32"/>
  <c r="D34" i="32"/>
  <c r="D24" i="32"/>
  <c r="D95" i="32" l="1"/>
  <c r="D37" i="32"/>
  <c r="D32" i="32"/>
  <c r="D78" i="32"/>
  <c r="D43" i="32"/>
  <c r="D40" i="32"/>
  <c r="D13" i="32" l="1"/>
  <c r="D16" i="32"/>
  <c r="C28" i="30" l="1"/>
  <c r="I28" i="30" s="1"/>
  <c r="C25" i="30"/>
  <c r="I25" i="30" l="1"/>
  <c r="G25" i="30"/>
  <c r="C23" i="30"/>
  <c r="I23" i="30" l="1"/>
  <c r="G23" i="30"/>
  <c r="C90" i="30" l="1"/>
  <c r="I90" i="30" s="1"/>
  <c r="C49" i="30" l="1"/>
  <c r="I49" i="30" s="1"/>
  <c r="C26" i="30" l="1"/>
  <c r="I26" i="30" s="1"/>
  <c r="C19" i="30" l="1"/>
  <c r="I19" i="30" l="1"/>
  <c r="G19" i="30"/>
  <c r="D91" i="32" l="1"/>
  <c r="D11" i="32"/>
  <c r="D21" i="32"/>
  <c r="F37" i="29" l="1"/>
  <c r="G37" i="29" s="1"/>
  <c r="F37" i="30"/>
  <c r="D77" i="32" l="1"/>
  <c r="C13" i="32" l="1"/>
  <c r="C57" i="30" l="1"/>
  <c r="I57" i="30" s="1"/>
  <c r="B31" i="24" l="1"/>
  <c r="B35" i="24"/>
  <c r="B39" i="24"/>
  <c r="B7" i="23"/>
  <c r="A15" i="23"/>
  <c r="A37" i="22"/>
  <c r="C13" i="22"/>
  <c r="C14" i="22"/>
  <c r="C12" i="22"/>
  <c r="C11" i="22"/>
  <c r="C12" i="21"/>
  <c r="C30" i="21"/>
  <c r="C69" i="30" l="1"/>
  <c r="I69" i="30" s="1"/>
  <c r="D42" i="32"/>
  <c r="C68" i="30" l="1"/>
  <c r="I68" i="30" s="1"/>
  <c r="C66" i="30"/>
  <c r="I66" i="30" l="1"/>
  <c r="C94" i="30"/>
  <c r="G68" i="30"/>
  <c r="C10" i="22" l="1"/>
  <c r="C9" i="22" s="1"/>
  <c r="C8" i="22"/>
  <c r="C19" i="32" l="1"/>
  <c r="C104" i="32" l="1"/>
  <c r="D104" i="32"/>
  <c r="B14" i="24"/>
  <c r="B12" i="21" l="1"/>
  <c r="B32" i="24"/>
  <c r="B30" i="24" s="1"/>
  <c r="D68" i="32"/>
  <c r="B38" i="24"/>
  <c r="A1" i="21" l="1" a="1"/>
  <c r="A1" i="21" s="1"/>
  <c r="A1" i="28" s="1"/>
  <c r="C34" i="30"/>
  <c r="I34" i="30" s="1"/>
  <c r="C33" i="30"/>
  <c r="I33" i="30" s="1"/>
  <c r="C31" i="30"/>
  <c r="I31" i="30" s="1"/>
  <c r="B27" i="24" l="1"/>
  <c r="A1" i="23"/>
  <c r="A1" i="22"/>
  <c r="A1" i="24"/>
  <c r="D45" i="32"/>
  <c r="C17" i="30" l="1"/>
  <c r="I17" i="30" s="1"/>
  <c r="F17" i="29"/>
  <c r="G17" i="29" s="1"/>
  <c r="F17" i="30"/>
  <c r="D82" i="32"/>
  <c r="G17" i="30" l="1"/>
  <c r="C45" i="32"/>
  <c r="D53" i="32"/>
  <c r="D56" i="32" l="1"/>
  <c r="D60" i="32"/>
  <c r="C56" i="32" l="1"/>
  <c r="C60" i="32"/>
  <c r="F62" i="29" l="1"/>
  <c r="G62" i="29" s="1"/>
  <c r="F62" i="30"/>
  <c r="G62" i="30" s="1"/>
  <c r="B13" i="24"/>
  <c r="C12" i="30" l="1"/>
  <c r="I12" i="30" l="1"/>
  <c r="G12" i="30"/>
  <c r="C54" i="32" l="1"/>
  <c r="C52" i="32"/>
  <c r="C51" i="32"/>
  <c r="C50" i="32"/>
  <c r="C49" i="32"/>
  <c r="B19" i="22" l="1"/>
  <c r="C69" i="32"/>
  <c r="C15" i="32"/>
  <c r="C30" i="32"/>
  <c r="C31" i="32"/>
  <c r="C32" i="32"/>
  <c r="C33" i="32"/>
  <c r="C35" i="32"/>
  <c r="C36" i="32"/>
  <c r="C37" i="32"/>
  <c r="C38" i="32"/>
  <c r="C39" i="32"/>
  <c r="C40" i="32"/>
  <c r="C41" i="32"/>
  <c r="C42" i="32"/>
  <c r="C43" i="32"/>
  <c r="C53" i="32"/>
  <c r="C65" i="32"/>
  <c r="C66" i="32"/>
  <c r="C68" i="32"/>
  <c r="C73" i="32"/>
  <c r="C74" i="32"/>
  <c r="C75" i="32"/>
  <c r="C76" i="32"/>
  <c r="C77" i="32"/>
  <c r="C78" i="32"/>
  <c r="C79" i="32"/>
  <c r="C80" i="32"/>
  <c r="C81" i="32"/>
  <c r="C82" i="32"/>
  <c r="C83" i="32"/>
  <c r="C86" i="32"/>
  <c r="C87" i="32"/>
  <c r="C88" i="32"/>
  <c r="C89" i="32"/>
  <c r="C94" i="32"/>
  <c r="C95" i="32"/>
  <c r="C96" i="32"/>
  <c r="C98" i="32"/>
  <c r="C99" i="32"/>
  <c r="C72" i="32" l="1"/>
  <c r="C70" i="32"/>
  <c r="C90" i="32"/>
  <c r="D90" i="32"/>
  <c r="C28" i="32"/>
  <c r="D28" i="32"/>
  <c r="C16" i="32"/>
  <c r="C91" i="32" l="1"/>
  <c r="C97" i="32"/>
  <c r="C24" i="32"/>
  <c r="C20" i="32"/>
  <c r="C21" i="32" l="1"/>
  <c r="C17" i="32"/>
  <c r="D8" i="32" l="1"/>
  <c r="C8" i="32" l="1"/>
  <c r="C11" i="32"/>
  <c r="B4" i="21" l="1"/>
  <c r="C23" i="22" l="1"/>
  <c r="C20" i="22"/>
  <c r="C19" i="22"/>
  <c r="C18" i="22"/>
  <c r="C16" i="22"/>
  <c r="C21" i="21" l="1"/>
  <c r="C27" i="21"/>
  <c r="C29" i="21"/>
  <c r="C22" i="21"/>
  <c r="C23" i="21"/>
  <c r="C9" i="21"/>
  <c r="C10" i="21"/>
  <c r="C11" i="21"/>
  <c r="C14" i="21"/>
  <c r="C15" i="21"/>
  <c r="C16" i="21"/>
  <c r="C17" i="21"/>
  <c r="C20" i="30" l="1"/>
  <c r="I20" i="30" l="1"/>
  <c r="G20" i="30"/>
  <c r="C8" i="21" l="1"/>
  <c r="C13" i="21"/>
  <c r="B34" i="24" l="1"/>
  <c r="B36" i="24" s="1"/>
  <c r="B33" i="24"/>
  <c r="C9" i="24"/>
  <c r="A4" i="24"/>
  <c r="A4" i="23"/>
  <c r="C7" i="24"/>
  <c r="B7" i="24"/>
  <c r="B28" i="22"/>
  <c r="C11" i="23"/>
  <c r="D11" i="23"/>
  <c r="B11" i="23"/>
  <c r="F10" i="23"/>
  <c r="C17" i="22"/>
  <c r="B10" i="24"/>
  <c r="B27" i="21"/>
  <c r="C34" i="24"/>
  <c r="C36" i="24" s="1"/>
  <c r="C30" i="24"/>
  <c r="C33" i="24" s="1"/>
  <c r="C25" i="24"/>
  <c r="F9" i="23"/>
  <c r="F7" i="23"/>
  <c r="C29" i="22"/>
  <c r="C31" i="22" s="1"/>
  <c r="C21" i="22"/>
  <c r="C31" i="21"/>
  <c r="C24" i="21"/>
  <c r="C18" i="21"/>
  <c r="C22" i="22" l="1"/>
  <c r="C24" i="22" s="1"/>
  <c r="C34" i="22" s="1"/>
  <c r="C18" i="24"/>
  <c r="C32" i="21"/>
  <c r="C8" i="24" l="1"/>
  <c r="C17" i="24" s="1"/>
  <c r="C28" i="24" s="1"/>
  <c r="C29" i="24" s="1"/>
  <c r="C37" i="24" s="1"/>
  <c r="C33" i="22"/>
  <c r="B10" i="22" l="1"/>
  <c r="F22" i="30" l="1"/>
  <c r="F22" i="29"/>
  <c r="G22" i="29" s="1"/>
  <c r="C22" i="30"/>
  <c r="I22" i="30" s="1"/>
  <c r="B21" i="21"/>
  <c r="G22" i="30" l="1"/>
  <c r="B16" i="22" l="1"/>
  <c r="B11" i="24"/>
  <c r="B15" i="24" l="1"/>
  <c r="B23" i="21" l="1"/>
  <c r="C56" i="30" l="1"/>
  <c r="I56" i="30" s="1"/>
  <c r="B26" i="24"/>
  <c r="B25" i="24" s="1"/>
  <c r="B14" i="21"/>
  <c r="B24" i="24"/>
  <c r="B17" i="21"/>
  <c r="B16" i="24" l="1"/>
  <c r="B22" i="21"/>
  <c r="B24" i="21" s="1"/>
  <c r="B16" i="21"/>
  <c r="B15" i="21"/>
  <c r="B11" i="21"/>
  <c r="B23" i="24"/>
  <c r="B29" i="22" l="1"/>
  <c r="B31" i="22" s="1"/>
  <c r="B20" i="22" l="1"/>
  <c r="B13" i="22"/>
  <c r="B14" i="22" l="1"/>
  <c r="B12" i="22"/>
  <c r="B11" i="22"/>
  <c r="B12" i="24"/>
  <c r="B23" i="22"/>
  <c r="B9" i="24" l="1"/>
  <c r="B29" i="21" l="1"/>
  <c r="B20" i="24" l="1"/>
  <c r="B9" i="21"/>
  <c r="B10" i="21" l="1"/>
  <c r="B22" i="24"/>
  <c r="C9" i="30" l="1"/>
  <c r="B8" i="21"/>
  <c r="I9" i="30" l="1"/>
  <c r="B40" i="24"/>
  <c r="F39" i="24" s="1"/>
  <c r="B9" i="22" l="1"/>
  <c r="C39" i="30" l="1"/>
  <c r="I39" i="30" s="1"/>
  <c r="C37" i="30" l="1"/>
  <c r="B13" i="21"/>
  <c r="B18" i="21" s="1"/>
  <c r="B21" i="24"/>
  <c r="B18" i="24" s="1"/>
  <c r="I37" i="30" l="1"/>
  <c r="G37" i="30"/>
  <c r="C60" i="30"/>
  <c r="I60" i="30" l="1"/>
  <c r="F60" i="30"/>
  <c r="D62" i="32"/>
  <c r="C67" i="32" l="1"/>
  <c r="B18" i="22"/>
  <c r="B21" i="22" s="1"/>
  <c r="D100" i="32" l="1"/>
  <c r="C100" i="32"/>
  <c r="C62" i="32"/>
  <c r="D26" i="32" l="1"/>
  <c r="C34" i="32"/>
  <c r="B8" i="22"/>
  <c r="B17" i="22" s="1"/>
  <c r="B22" i="22" s="1"/>
  <c r="D102" i="32" l="1"/>
  <c r="C26" i="32"/>
  <c r="D55" i="32"/>
  <c r="B8" i="24"/>
  <c r="B17" i="24" s="1"/>
  <c r="B28" i="24" s="1"/>
  <c r="B29" i="24" s="1"/>
  <c r="B37" i="24" s="1"/>
  <c r="F40" i="24" s="1"/>
  <c r="B24" i="22"/>
  <c r="D106" i="32" l="1"/>
  <c r="C55" i="32"/>
  <c r="B34" i="22"/>
  <c r="B33" i="22"/>
  <c r="C110" i="30"/>
  <c r="C107" i="30"/>
  <c r="C111" i="30" s="1"/>
  <c r="C112" i="30" s="1"/>
  <c r="C113" i="30" s="1"/>
  <c r="C102" i="32" l="1"/>
  <c r="D109" i="32"/>
  <c r="D110" i="32" s="1"/>
  <c r="F110" i="30"/>
  <c r="G110" i="30" s="1"/>
  <c r="F110" i="29"/>
  <c r="G110" i="29" s="1"/>
  <c r="E8" i="23"/>
  <c r="B30" i="21"/>
  <c r="B31" i="21" s="1"/>
  <c r="B32" i="21" s="1"/>
  <c r="C106" i="32" l="1"/>
  <c r="F8" i="23"/>
  <c r="E11" i="23"/>
  <c r="F11" i="23" s="1"/>
  <c r="C109" i="3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<sst xmlns="http://schemas.openxmlformats.org/spreadsheetml/2006/main" count="1965" uniqueCount="726">
  <si>
    <t>(в тысячах тенге)</t>
  </si>
  <si>
    <t>1.1</t>
  </si>
  <si>
    <t>1.2</t>
  </si>
  <si>
    <t>1.3</t>
  </si>
  <si>
    <t>1.4</t>
  </si>
  <si>
    <t>3.1</t>
  </si>
  <si>
    <t>4.1</t>
  </si>
  <si>
    <t>5.1</t>
  </si>
  <si>
    <t>6.1</t>
  </si>
  <si>
    <t>Место печати</t>
  </si>
  <si>
    <t>Всего</t>
  </si>
  <si>
    <t>Ценные бумаги, оцениваемые по справедливой стоимости, изменения которых отражаются в составе прибыли или убытка</t>
  </si>
  <si>
    <t>Итого</t>
  </si>
  <si>
    <t>Бухгалтерский баланс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</si>
  <si>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</si>
  <si>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</si>
  <si>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</si>
  <si>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</si>
  <si>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</si>
  <si>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</si>
  <si>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</si>
  <si>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</si>
  <si>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</si>
  <si>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>7.1</t>
  </si>
  <si>
    <t xml:space="preserve">   от инвестиционного дохода (убытка) по пенсионным активам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</si>
  <si>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</si>
  <si>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</si>
  <si>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</si>
  <si>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</si>
  <si>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</si>
  <si>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</si>
  <si>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</si>
  <si>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</si>
  <si>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Отложенное налоговое требование</t>
  </si>
  <si>
    <t>Прочие активы</t>
  </si>
  <si>
    <t>Обязательства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</si>
  <si>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</si>
  <si>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</si>
  <si>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</si>
  <si>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</si>
  <si>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Субординированный долг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</si>
  <si>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</si>
  <si>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</si>
  <si>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</si>
  <si>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</si>
  <si>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</si>
  <si>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</si>
  <si>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</si>
  <si>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</si>
  <si>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>Премии (дополнительный оплаченный капитал)</t>
  </si>
  <si>
    <t>Изъятый капитал</t>
  </si>
  <si>
    <t>Резервный капитал</t>
  </si>
  <si>
    <t>в том числе: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</si>
  <si>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</si>
  <si>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</si>
  <si>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</si>
  <si>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</si>
  <si>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</si>
  <si>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</si>
  <si>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</si>
  <si>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>2.1</t>
  </si>
  <si>
    <t>2.2</t>
  </si>
  <si>
    <t xml:space="preserve">   по выпущенным ценным бумагам</t>
  </si>
  <si>
    <t xml:space="preserve">   по операциям «РЕПО»</t>
  </si>
  <si>
    <t>13</t>
  </si>
  <si>
    <t>Операционные расходы</t>
  </si>
  <si>
    <t>14</t>
  </si>
  <si>
    <t/>
  </si>
  <si>
    <t xml:space="preserve">   расходы на оплату труда и командировочные</t>
  </si>
  <si>
    <t>14.1</t>
  </si>
  <si>
    <t xml:space="preserve">   амортизационные отчисления</t>
  </si>
  <si>
    <t>14.2</t>
  </si>
  <si>
    <t>14.3</t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</si>
  <si>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</si>
  <si>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</si>
  <si>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</si>
  <si>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</si>
  <si>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</si>
  <si>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</si>
  <si>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</si>
  <si>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</si>
  <si>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Корпоративный подоходный налог</t>
  </si>
  <si>
    <t>-</t>
  </si>
  <si>
    <t xml:space="preserve"> Активы</t>
  </si>
  <si>
    <t>1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</si>
  <si>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</si>
  <si>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</si>
  <si>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2</t>
  </si>
  <si>
    <t>3</t>
  </si>
  <si>
    <t xml:space="preserve">     начисленные, но не полученные доходы в виде вознаграждения</t>
  </si>
  <si>
    <t>5</t>
  </si>
  <si>
    <t>6</t>
  </si>
  <si>
    <t xml:space="preserve">    начисленные, но не полученные доходы в виде вознаграждения</t>
  </si>
  <si>
    <t>7</t>
  </si>
  <si>
    <t>8</t>
  </si>
  <si>
    <t>9</t>
  </si>
  <si>
    <t>10</t>
  </si>
  <si>
    <t>11</t>
  </si>
  <si>
    <t>12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</si>
  <si>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</si>
  <si>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</si>
  <si>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</si>
  <si>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</si>
  <si>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</si>
  <si>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</si>
  <si>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</si>
  <si>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</si>
  <si>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</si>
  <si>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</si>
  <si>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</si>
  <si>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</si>
  <si>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</si>
  <si>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</si>
  <si>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</si>
  <si>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</si>
  <si>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</si>
  <si>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</si>
  <si>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</si>
  <si>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</si>
  <si>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</si>
  <si>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</si>
  <si>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</si>
  <si>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</si>
  <si>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</si>
  <si>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</si>
  <si>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</si>
  <si>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20</t>
  </si>
  <si>
    <t>Итого активы:</t>
  </si>
  <si>
    <t>21</t>
  </si>
  <si>
    <t>22</t>
  </si>
  <si>
    <t>23</t>
  </si>
  <si>
    <t>Займы полученные</t>
  </si>
  <si>
    <t>24</t>
  </si>
  <si>
    <t>25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</si>
  <si>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</si>
  <si>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</si>
  <si>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</si>
  <si>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</si>
  <si>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</si>
  <si>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</si>
  <si>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</si>
  <si>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</si>
  <si>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</si>
  <si>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</si>
  <si>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</si>
  <si>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</si>
  <si>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</si>
  <si>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</si>
  <si>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</si>
  <si>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</si>
  <si>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</si>
  <si>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</si>
  <si>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</si>
  <si>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</si>
  <si>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</si>
  <si>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</si>
  <si>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</si>
  <si>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</si>
  <si>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</si>
  <si>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</si>
  <si>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Авансы полученные</t>
  </si>
  <si>
    <t>Обязательства по вознаграждениям работникам</t>
  </si>
  <si>
    <t>35</t>
  </si>
  <si>
    <t>36</t>
  </si>
  <si>
    <t xml:space="preserve">     простые акции</t>
  </si>
  <si>
    <t xml:space="preserve">     привилегированные акции</t>
  </si>
  <si>
    <t>39</t>
  </si>
  <si>
    <t>40</t>
  </si>
  <si>
    <t>41</t>
  </si>
  <si>
    <t>42</t>
  </si>
  <si>
    <t>43</t>
  </si>
  <si>
    <t>44</t>
  </si>
  <si>
    <t xml:space="preserve"> Доходы, связанные с получением вознаграждения</t>
  </si>
  <si>
    <t xml:space="preserve"> в том числе: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</si>
  <si>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</si>
  <si>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</si>
  <si>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</si>
  <si>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</si>
  <si>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</si>
  <si>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</si>
  <si>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</si>
  <si>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</si>
  <si>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</si>
  <si>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</si>
  <si>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</si>
  <si>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</si>
  <si>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</si>
  <si>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</si>
  <si>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</si>
  <si>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</si>
  <si>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</si>
  <si>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</si>
  <si>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</si>
  <si>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</si>
  <si>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</si>
  <si>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</si>
  <si>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</si>
  <si>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</si>
  <si>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</si>
  <si>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</si>
  <si>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</si>
  <si>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</si>
  <si>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</si>
  <si>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</si>
  <si>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</si>
  <si>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</si>
  <si>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</si>
  <si>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</si>
  <si>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</si>
  <si>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</si>
  <si>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</si>
  <si>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</si>
  <si>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</si>
  <si>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</si>
  <si>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</si>
  <si>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</si>
  <si>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</si>
  <si>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</si>
  <si>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</si>
  <si>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</si>
  <si>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</si>
  <si>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</si>
  <si>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</si>
  <si>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</si>
  <si>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</si>
  <si>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</si>
  <si>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</si>
  <si>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</si>
  <si>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</si>
  <si>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</si>
  <si>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</si>
  <si>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</si>
  <si>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</si>
  <si>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</si>
  <si>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</si>
  <si>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</si>
  <si>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</si>
  <si>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</si>
  <si>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</si>
  <si>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</si>
  <si>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</si>
  <si>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</si>
  <si>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</si>
  <si>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</si>
  <si>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</si>
  <si>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</si>
  <si>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транспортные расходы</t>
  </si>
  <si>
    <t>26.3</t>
  </si>
  <si>
    <t>26.4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</si>
  <si>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</si>
  <si>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</si>
  <si>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</si>
  <si>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</si>
  <si>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</si>
  <si>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</si>
  <si>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 xml:space="preserve">Текущее налоговое требование </t>
  </si>
  <si>
    <t>Исполнитель</t>
  </si>
  <si>
    <t xml:space="preserve">Примечание: 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</si>
  <si>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</si>
  <si>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</si>
  <si>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общехозяйственные и административные расходы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</si>
  <si>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</si>
  <si>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</si>
  <si>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</si>
  <si>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</si>
  <si>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</si>
  <si>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</si>
  <si>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1000, Денежные средства</t>
  </si>
  <si>
    <t>1030, Денежные средства на текущих банковских счетах</t>
  </si>
  <si>
    <t>1200, Краткосрочная дебиторская задолженность</t>
  </si>
  <si>
    <t>3100, Обязательства по налогам</t>
  </si>
  <si>
    <t>3120, Индивидуальный подоходный налог</t>
  </si>
  <si>
    <t>3150, Социальный налог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</si>
  <si>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</si>
  <si>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</si>
  <si>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</si>
  <si>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</si>
  <si>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</si>
  <si>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</si>
  <si>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</si>
  <si>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5000, Уставный капитал</t>
  </si>
  <si>
    <t>5020, Простые акции</t>
  </si>
  <si>
    <t>Главный бухгалтер</t>
  </si>
  <si>
    <t>Выводимые данные:</t>
  </si>
  <si>
    <t>БУ (данные бухгалтерского учета)</t>
  </si>
  <si>
    <t>Счет</t>
  </si>
  <si>
    <t>Кор. Счет</t>
  </si>
  <si>
    <t>Начальное сальдо</t>
  </si>
  <si>
    <t>6110.01</t>
  </si>
  <si>
    <t>6110.03</t>
  </si>
  <si>
    <t>6110.04</t>
  </si>
  <si>
    <t>6150.01</t>
  </si>
  <si>
    <t>7470.03</t>
  </si>
  <si>
    <t>7470.81</t>
  </si>
  <si>
    <t>7470.83</t>
  </si>
  <si>
    <t>7470.84</t>
  </si>
  <si>
    <t>Оборот</t>
  </si>
  <si>
    <t>Конечное сальдо</t>
  </si>
  <si>
    <t>6150.03</t>
  </si>
  <si>
    <t>6280.09</t>
  </si>
  <si>
    <t>7470.10</t>
  </si>
  <si>
    <t>Доходы связанные с получением вознаграждения по приобретенным ценным бумагам</t>
  </si>
  <si>
    <t>Доходы связанные с амортизацией дисконта по приобретенным ценным бумагам</t>
  </si>
  <si>
    <t>Доходы связанные с получением вознаграждения по операциям обратое РЕПО с ценными бумагами</t>
  </si>
  <si>
    <t>Доход от реализации продукции и оказания услуг</t>
  </si>
  <si>
    <t>Реализованные доходы от изменения стоимости ценных бумаг предназначенных для торновли и имеющихся в наличии для продажи</t>
  </si>
  <si>
    <t>Доходы от восстановления аннулирования резервов провизий созданных в прошлых периодах на покрытие убытков по процей деби</t>
  </si>
  <si>
    <t>Доходы по дивидендам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</si>
  <si>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</si>
  <si>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</si>
  <si>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по ценным бумагам, учитываемым по справедливой стоимости через прочий совокупный доход</t>
  </si>
  <si>
    <t>по ценным бумагам, оцениваемым по справедливой стоимости, изменения которых отражаются в составе прибыли или убытка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</si>
  <si>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</si>
  <si>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доходы, связанные с амортизацией дисконта по ценным бумагам, оцениваемым по справедливой стоимости</t>
  </si>
  <si>
    <t>по ценным бумаги, учитываемым по амортизированной стоимости  (за вычетом резервов на обесценение)</t>
  </si>
  <si>
    <t>доходы, связанные с амортизацией дисконта по ценным бумагам, учитываемым по амортизированной стоимости</t>
  </si>
  <si>
    <t>по операциям «обратное РЕПО»</t>
  </si>
  <si>
    <t>прочие доходы, связанные с получением вознаграждения</t>
  </si>
  <si>
    <t>Расходы по корпоративному подоходному налогу</t>
  </si>
  <si>
    <t>Комиссионные расходы иных профессиональных участников рынка ценных бумаг</t>
  </si>
  <si>
    <t>Комиссионные расходы по услугам по кастодиальному облсуживанию</t>
  </si>
  <si>
    <t>Расходы от покупки продажи ценных бумаг</t>
  </si>
  <si>
    <t>Комиссионные расходы за услуги фондовой биржи</t>
  </si>
  <si>
    <t>Административные расходы</t>
  </si>
  <si>
    <t>Расходы по налогу на транспортные средства</t>
  </si>
  <si>
    <t>Расходы по формированию резервов провизий по прочей дебиторской задолженности</t>
  </si>
  <si>
    <t>Расходы по операционной аренде</t>
  </si>
  <si>
    <t>Нереализованные расходы от изменения стоимости ценных бумаг предназначенных для торговли</t>
  </si>
  <si>
    <t>Старикова-Тлеухан М.В.</t>
  </si>
  <si>
    <t xml:space="preserve"> по состоянию на 1 </t>
  </si>
  <si>
    <t>Активы</t>
  </si>
  <si>
    <t>Денежные средства</t>
  </si>
  <si>
    <t>Активы по операциям «Обратное РЕПО»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</si>
  <si>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</si>
  <si>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</si>
  <si>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Прочие краткосрочные активы</t>
  </si>
  <si>
    <t>Основные средства</t>
  </si>
  <si>
    <t>Нематериальные активы</t>
  </si>
  <si>
    <t>Итого активов</t>
  </si>
  <si>
    <t>Краткосрочные оценочные обязательства</t>
  </si>
  <si>
    <t>Прочие краткосрочные обязательства</t>
  </si>
  <si>
    <t>Итого обязательств</t>
  </si>
  <si>
    <t>Капитал</t>
  </si>
  <si>
    <t>Акционерный капитал</t>
  </si>
  <si>
    <t>Дополнительный капитал</t>
  </si>
  <si>
    <t>Резерв по переоценке финансовых активов, оцениваемых по справедливой стоимости через прочий совокупный доход</t>
  </si>
  <si>
    <t>Накопленный убыток</t>
  </si>
  <si>
    <t>Итого капитал</t>
  </si>
  <si>
    <t>Итого обязательств и капитал</t>
  </si>
  <si>
    <t>Комиссионные доходы</t>
  </si>
  <si>
    <t xml:space="preserve">Доходы в виде вознаграждения </t>
  </si>
  <si>
    <t>Прибыль/(убыток) по операциям с финансовыми активами, оцениваемыми по справедливой стоимости через прибыль или убыток</t>
  </si>
  <si>
    <t>Прибыль/(убыток) по операциям с финансовыми активами, оцениваемым по справедливой стоимости через прочий совокупный доход</t>
  </si>
  <si>
    <t>Доходы по операциям «РЕПО»</t>
  </si>
  <si>
    <t xml:space="preserve">Доходы/(расходы) от переоценки иностранной валюты </t>
  </si>
  <si>
    <t>Доходы по дисконтированию займа</t>
  </si>
  <si>
    <t>Прочие доходы</t>
  </si>
  <si>
    <t>Итого доходов</t>
  </si>
  <si>
    <t>Комиссионные расходы</t>
  </si>
  <si>
    <t>Итого расходов</t>
  </si>
  <si>
    <t>Прибыль (убыток) до налогообложения</t>
  </si>
  <si>
    <t>Расходы по подоходному налогу</t>
  </si>
  <si>
    <t>Прибыль (убыток) за отчетный год</t>
  </si>
  <si>
    <t>Прочий совокупный доход (убыток)</t>
  </si>
  <si>
    <t>Прочий совокупный доход, подлежащий переклассификации в состав прибыли или убытка в последующих периодах:</t>
  </si>
  <si>
    <t>Нереализованные доходы / (расходы) по операциям с финансовыми активами, оцениваемыми по справедливой стоимости через прочий совокупный доход</t>
  </si>
  <si>
    <t>Реализованные (доходы) / расходы  по операциям с финансовыми активами, оцениваемыми по справедливой стоимости через прочий совокупный доход, перенесенные в состав  прибыли или убытка</t>
  </si>
  <si>
    <t>Чистый прочий совокупный доход (убыток), подлежащий переклассификации в состав прибыли или убытка в последующих периодах</t>
  </si>
  <si>
    <t>Прочий совокупный доход, не подлежащий переклассификации в состав прибыли или убытка в последующих периодах:</t>
  </si>
  <si>
    <t>Чистый прочий совокупный доход, не подлежащий переклассификации в состав прибыли или убытка в последующих периодах</t>
  </si>
  <si>
    <t>Прочий совокупный доход за отчетный год</t>
  </si>
  <si>
    <t>Итого совокупный доход (убыток) за отчетный год</t>
  </si>
  <si>
    <t>Прибыль (убыток) на акцию (тенге)</t>
  </si>
  <si>
    <t>ОТЧЕТ ОБ ИЗМЕНЕНИЯХ В КАПИТАЛЕ</t>
  </si>
  <si>
    <t>Прибыль за отчетный период</t>
  </si>
  <si>
    <t>Прочий совокупный доход  за отчетный год</t>
  </si>
  <si>
    <t>ОТЧЕТ О ДВИЖЕНИИ ДЕНЕЖНЫХ СРЕДСТВ</t>
  </si>
  <si>
    <t xml:space="preserve"> (косвенный метод)</t>
  </si>
  <si>
    <t>Чистая прибыль (убыток) до налогообложения</t>
  </si>
  <si>
    <t>Корректировки на неденежные операционные статьи, в том числе:</t>
  </si>
  <si>
    <t>амортизационные отчисления и износ</t>
  </si>
  <si>
    <t>изменение резерва под ожидаемые кредитные убытки</t>
  </si>
  <si>
    <t>изменение стоимости финансовых активов, оцениваемых по справедливой стоимости через прибыль или убыток</t>
  </si>
  <si>
    <t>чистая прибыль/убыток, от выбытия финансовых активов, оцениваемых по справедливой стоимости через прочий совокупный доход</t>
  </si>
  <si>
    <t>амортизация дисконта по финансовым активам и займу</t>
  </si>
  <si>
    <t>прочие корректировки на неденежные статьи</t>
  </si>
  <si>
    <t>Операционный доход (убыток) до изменения в операционных активах и обязательствах</t>
  </si>
  <si>
    <t xml:space="preserve">(Увеличение) уменьшение в операционных активах: </t>
  </si>
  <si>
    <t>(Увеличение) уменьшение вкладов размещенных</t>
  </si>
  <si>
    <t>(Увеличение) уменьшение операций обратное РЕПО</t>
  </si>
  <si>
    <t>(Увеличение) уменьшение краткосрочной дебиторской задолженности</t>
  </si>
  <si>
    <t>(Увеличение) уменьшение финансовых активов, оцениваемых по справедливой стоимости через прибыль или убыток</t>
  </si>
  <si>
    <t>Расчет денежных потоков от операционной деятельности</t>
  </si>
  <si>
    <t>Корректировка чистой прибыли</t>
  </si>
  <si>
    <t>Наименование</t>
  </si>
  <si>
    <t>(Увеличение) уменьшение прочих активов</t>
  </si>
  <si>
    <t>Неденежные статьи:</t>
  </si>
  <si>
    <t>Увеличение (уменьшение) в операционных обязательствах:</t>
  </si>
  <si>
    <t>+</t>
  </si>
  <si>
    <t>Отчисления на амортизацию основных средств, нематериальных активов</t>
  </si>
  <si>
    <t>Увеличение (уменьшение) краткосрочной кредиторской задолженности</t>
  </si>
  <si>
    <t>Расходы по безнадежным долгам</t>
  </si>
  <si>
    <t>Увеличение (уменьшение) прочих обязательств</t>
  </si>
  <si>
    <t>Убытки от неоперационной деятельности</t>
  </si>
  <si>
    <t xml:space="preserve">Чистое движение денежных средств от операционной деятельности до уплаты подоходного налога                                          </t>
  </si>
  <si>
    <t>Прибыли от неоперационной деятельности</t>
  </si>
  <si>
    <t>Чистое движение денежных  средств от операционной деятельности</t>
  </si>
  <si>
    <t>Изменения в текущих активах:</t>
  </si>
  <si>
    <t>Уменьшение текущих активов</t>
  </si>
  <si>
    <t>Приобретение основных средств и нематериальных активов</t>
  </si>
  <si>
    <t>Увеличение текущих активов</t>
  </si>
  <si>
    <t xml:space="preserve">Чистое  движение денежных средств от инвестиционной деятельности </t>
  </si>
  <si>
    <t>Изменения в текущих обязательствах:</t>
  </si>
  <si>
    <t>Денежные поступления и платежи, связанные  с финансовой деятельностью</t>
  </si>
  <si>
    <t>Уменьшение текущих обязательств</t>
  </si>
  <si>
    <t>Увеличение текущих обязательств</t>
  </si>
  <si>
    <t>Итого  увеличение (уменьшение) денежных средств за отчетный период</t>
  </si>
  <si>
    <t xml:space="preserve">Влияние изменений обменного курса на сальдо денежных средств в иностранной валюте  </t>
  </si>
  <si>
    <t>Остаток денежных средств  на начало периода</t>
  </si>
  <si>
    <t xml:space="preserve">Остаток денежных средств на конец периода </t>
  </si>
  <si>
    <t>Нераспределенный доход/Наколенный убыток</t>
  </si>
  <si>
    <t>Перенос на нераспределенную прибыль</t>
  </si>
  <si>
    <t>ОТЧЕТ О ФИНАНСОВОМ ПОЛОЖЕНИИ</t>
  </si>
  <si>
    <t>(тыс.тенге)</t>
  </si>
  <si>
    <t>_______________________________</t>
  </si>
  <si>
    <t>__________________________</t>
  </si>
  <si>
    <t>Председатель правления</t>
  </si>
  <si>
    <t>М.П.</t>
  </si>
  <si>
    <t>ОТЧЕТ О ПРИБЫЛИ И УБЫТКЕ И ПРОЧЕМ СОВОКУПНОМ ДОХОДЕ</t>
  </si>
  <si>
    <t>для оддс</t>
  </si>
  <si>
    <t xml:space="preserve">Наименование </t>
  </si>
  <si>
    <t>Адрес</t>
  </si>
  <si>
    <t xml:space="preserve">Телефон </t>
  </si>
  <si>
    <t xml:space="preserve">Адрес электронной почты </t>
  </si>
  <si>
    <t>Главный бухгалтер или лицо, уполномоченное на подписание отчета</t>
  </si>
  <si>
    <t xml:space="preserve">Руководитель или лицо, уполномоченное им на подписание отчета </t>
  </si>
  <si>
    <t xml:space="preserve">Наименование статьи </t>
  </si>
  <si>
    <t xml:space="preserve">   за услуги центрального депозитария</t>
  </si>
  <si>
    <t>Активы в форме права пользования (за вычетом амортизации и убытков от обесценения)</t>
  </si>
  <si>
    <t>16.1.1</t>
  </si>
  <si>
    <t>16.1.2</t>
  </si>
  <si>
    <t>16.6</t>
  </si>
  <si>
    <t>16.7</t>
  </si>
  <si>
    <t>16.8</t>
  </si>
  <si>
    <t>16.9</t>
  </si>
  <si>
    <t>17.1</t>
  </si>
  <si>
    <t>17.2</t>
  </si>
  <si>
    <t>17.3</t>
  </si>
  <si>
    <t>17.4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</si>
  <si>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</si>
  <si>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</si>
  <si>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</si>
  <si>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</si>
  <si>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</si>
  <si>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</si>
  <si>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</si>
  <si>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</si>
  <si>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</si>
  <si>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</si>
  <si>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Обязательство перед бюджетом по налогам и другим обязательным платежам в бюджет</t>
  </si>
  <si>
    <t>Обязательства по аренде</t>
  </si>
  <si>
    <t>39.1</t>
  </si>
  <si>
    <t>39.2</t>
  </si>
  <si>
    <t>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</si>
  <si>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</si>
  <si>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>Резерв на переоценку основных средств</t>
  </si>
  <si>
    <t>45</t>
  </si>
  <si>
    <t>30.5</t>
  </si>
  <si>
    <t>проверка с формами</t>
  </si>
  <si>
    <t>7470.02</t>
  </si>
  <si>
    <t>Расходы по покупке продаже иностранной валюты</t>
  </si>
  <si>
    <t>7220.05</t>
  </si>
  <si>
    <t>Доходы от покупки продажи иностранной валюты</t>
  </si>
  <si>
    <t>Расходы по прочим налогам сборам и обязательным платежам в бюджет</t>
  </si>
  <si>
    <t>7470.06</t>
  </si>
  <si>
    <t>7470.09</t>
  </si>
  <si>
    <t>Реализованные расходы от изменения стоимости ценных бумаг предназначенных для торговли и имеющихся в наличии для продажи</t>
  </si>
  <si>
    <t>Нераспределенная прибыль непокрытый убыток отчетного года</t>
  </si>
  <si>
    <t>7220.04</t>
  </si>
  <si>
    <t>7440.03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</si>
  <si>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</si>
  <si>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</si>
  <si>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</si>
  <si>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</si>
  <si>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</si>
  <si>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</si>
  <si>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</si>
  <si>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</si>
  <si>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26.2</t>
  </si>
  <si>
    <t>7310.04</t>
  </si>
  <si>
    <t>Расходы связанные с выпланой вознаграждения по операциям репо с ценными бумагами</t>
  </si>
  <si>
    <t>Расходы по реализации продукции и оказанию услуг</t>
  </si>
  <si>
    <t>Доходы от выбытия активов</t>
  </si>
  <si>
    <t>АО "UD Capital"</t>
  </si>
  <si>
    <t>Елешев Е.С.</t>
  </si>
  <si>
    <t>мкр.Нур Алатау, ул.Темирбек Кожакеев, дом 36</t>
  </si>
  <si>
    <t>info@udcapital.kz</t>
  </si>
  <si>
    <t>1100, Краткосрочные финансовые активы</t>
  </si>
  <si>
    <t>1150, Прочие краткосрочные финансовые инвестиции</t>
  </si>
  <si>
    <t>1270, Прочая краткосрочная дебиторская задолженность</t>
  </si>
  <si>
    <t>1700, Прочие краткосрочные активы</t>
  </si>
  <si>
    <t>1710, Краткосрочные авансы выданные</t>
  </si>
  <si>
    <t>3211, Обязательства по социальным отчислениям</t>
  </si>
  <si>
    <t>7470.82</t>
  </si>
  <si>
    <t>Комиссионные расходы за услуги по брокерской и дилерской деятельности</t>
  </si>
  <si>
    <t>Дата</t>
  </si>
  <si>
    <t>1400, Текущие налоговые активы</t>
  </si>
  <si>
    <t>7210</t>
  </si>
  <si>
    <t>6250</t>
  </si>
  <si>
    <t>7430</t>
  </si>
  <si>
    <t>6280.07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</si>
  <si>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</si>
  <si>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</si>
  <si>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5610</t>
  </si>
  <si>
    <t>3110, Корпоративный подоходный налог подлежащий уплате</t>
  </si>
  <si>
    <t>по состоянию на 1</t>
  </si>
  <si>
    <r>
      <t xml:space="preserve">Чистое  движение денежных средств от </t>
    </r>
    <r>
      <rPr>
        <b/>
        <sz val="10"/>
        <rFont val="Montserrat"/>
        <charset val="204"/>
      </rPr>
      <t>финансовой</t>
    </r>
    <r>
      <rPr>
        <b/>
        <sz val="10"/>
        <color rgb="FFFF0000"/>
        <rFont val="Montserrat"/>
        <charset val="204"/>
      </rPr>
      <t xml:space="preserve"> </t>
    </r>
    <r>
      <rPr>
        <b/>
        <sz val="10"/>
        <color rgb="FF000000"/>
        <rFont val="Montserrat"/>
        <charset val="204"/>
      </rPr>
      <t>деятельности</t>
    </r>
  </si>
  <si>
    <t>31 декабря
2022 года</t>
  </si>
  <si>
    <r>
      <t xml:space="preserve"> </t>
    </r>
    <r>
      <rPr>
        <b/>
        <sz val="10"/>
        <color theme="1"/>
        <rFont val="Montserrat"/>
        <charset val="204"/>
      </rPr>
      <t xml:space="preserve">31 декабря
2021 года </t>
    </r>
  </si>
  <si>
    <t>За год, закончившийся 31 декабря</t>
  </si>
  <si>
    <t>2022 г.</t>
  </si>
  <si>
    <t>Сальдо 31 декабря 2021 г.</t>
  </si>
  <si>
    <t>Сальдо на 31 декабря 2022 г.</t>
  </si>
  <si>
    <t>+7 /727/ 350 77 08</t>
  </si>
  <si>
    <t>+7 /727/ 3507708, вн.421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</si>
  <si>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</si>
  <si>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</si>
  <si>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</si>
  <si>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</si>
  <si>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проверка</t>
  </si>
  <si>
    <t>+7 /727/ 350 77 70</t>
  </si>
  <si>
    <t>+7 /727/ 3507707, вн.421</t>
  </si>
  <si>
    <t>+7 /727/ 3507707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</si>
  <si>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</si>
  <si>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</si>
  <si>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</si>
  <si>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</si>
  <si>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</si>
  <si>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</si>
  <si>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</si>
  <si>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</si>
  <si>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</si>
  <si>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</si>
  <si>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</si>
  <si>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</si>
  <si>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>мкр.Нур Алатау, ул.Т. Кожакеев, дом 36</t>
  </si>
  <si>
    <t>Финансовые активы, учитываемые по амортизированной стоимости (за вычетом резервов на обесценение)</t>
  </si>
  <si>
    <t>Поступление заявленного уставного капитала</t>
  </si>
  <si>
    <t>Анализ счета 2410  за 2022 г.</t>
  </si>
  <si>
    <t>2410</t>
  </si>
  <si>
    <t>2933</t>
  </si>
  <si>
    <t>3310</t>
  </si>
  <si>
    <t>Анализ счета 2730  за 2022 г.</t>
  </si>
  <si>
    <t>2730</t>
  </si>
  <si>
    <t xml:space="preserve">Приобретение долговых и долевых инструментов, а также долей участия в совместных преприятиях </t>
  </si>
  <si>
    <t>Денежные выбытия и платежи, связанные с инвестиционной деятельностью</t>
  </si>
  <si>
    <r>
      <t>(Увеличение) уменьшение финансовых активов,</t>
    </r>
    <r>
      <rPr>
        <sz val="10"/>
        <color theme="1"/>
        <rFont val="Montserrat"/>
        <charset val="204"/>
      </rPr>
      <t xml:space="preserve"> </t>
    </r>
    <r>
      <rPr>
        <sz val="10"/>
        <color rgb="FF000000"/>
        <rFont val="Montserrat"/>
        <charset val="204"/>
      </rPr>
      <t>оцениваемых по амортизированной стоимости</t>
    </r>
  </si>
  <si>
    <t>изменение стоимости финансовых активов, оцениваемых по амортизированной стоимости</t>
  </si>
  <si>
    <t>6110.27</t>
  </si>
  <si>
    <t>6110.81</t>
  </si>
  <si>
    <t>Прочие комиссионные доходы</t>
  </si>
  <si>
    <t>Комиссионные доходы за услуги по брокерской и дилерской деятельности</t>
  </si>
  <si>
    <t>7310.02</t>
  </si>
  <si>
    <t>Доходы от изменения стоимости ЦБ, учитываемых по СС, изменения которой отражаются в составе ПиУ</t>
  </si>
  <si>
    <t>Доходы от курсовой разницы</t>
  </si>
  <si>
    <t>Доходы от покупки - продажи ценных бумаг</t>
  </si>
  <si>
    <t>Расходы, связанные с амортизацией премии по приобретенным ценным бумагам</t>
  </si>
  <si>
    <t>Расходы по курсовой разнице</t>
  </si>
  <si>
    <t>6110.26</t>
  </si>
  <si>
    <t>Комиссионные доходы за услуги по доверительным операциям</t>
  </si>
  <si>
    <t>Приложение 15 к постановлению Правления Национального Банка Республики Казахстан от 28 января 2016 года №41</t>
  </si>
  <si>
    <t>Приложение 16 к постановлению Правления Национального Банка Республики Казахстан от 28 января 2016 года №41</t>
  </si>
  <si>
    <t>7710</t>
  </si>
  <si>
    <t>1020, Денежные средства в пути</t>
  </si>
  <si>
    <t>1022, Конвертация валюты</t>
  </si>
  <si>
    <t>7480</t>
  </si>
  <si>
    <t>Кор. Субконто1</t>
  </si>
  <si>
    <t>Елешев Е.С</t>
  </si>
  <si>
    <t>в тысячах тенге</t>
  </si>
  <si>
    <t>Наименование показателей</t>
  </si>
  <si>
    <t>Код
строки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</si>
  <si>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</si>
  <si>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</si>
  <si>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</si>
  <si>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 xml:space="preserve">            реализация товаров и услуг</t>
  </si>
  <si>
    <t>011</t>
  </si>
  <si>
    <t xml:space="preserve">            прочая выручка</t>
  </si>
  <si>
    <t>012</t>
  </si>
  <si>
    <t xml:space="preserve">            авансы, полученные от покупателей, заказчиков</t>
  </si>
  <si>
    <t>013</t>
  </si>
  <si>
    <t xml:space="preserve">            поступления по договорам страхования</t>
  </si>
  <si>
    <t>014</t>
  </si>
  <si>
    <t xml:space="preserve">            полученные вознаграждения</t>
  </si>
  <si>
    <t>015</t>
  </si>
  <si>
    <t xml:space="preserve">            прочие поступления</t>
  </si>
  <si>
    <t>016</t>
  </si>
  <si>
    <t>2. Выбытие денежных средств, всего (сумма строк с 021 по 027)</t>
  </si>
  <si>
    <t>020</t>
  </si>
  <si>
    <t xml:space="preserve">            платежи поставщикам за товары и услуги</t>
  </si>
  <si>
    <t>021</t>
  </si>
  <si>
    <t xml:space="preserve">            авансы, выданные поставщикам товаров и услуг</t>
  </si>
  <si>
    <t>022</t>
  </si>
  <si>
    <t xml:space="preserve">            выплаты по оплате труда</t>
  </si>
  <si>
    <t>023</t>
  </si>
  <si>
    <t xml:space="preserve">            выплата вознаграждения</t>
  </si>
  <si>
    <t>024</t>
  </si>
  <si>
    <t xml:space="preserve"> </t>
  </si>
  <si>
    <t xml:space="preserve">            выплаты по договорам страхования</t>
  </si>
  <si>
    <t>025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</si>
  <si>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</si>
  <si>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</si>
  <si>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</si>
  <si>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</si>
  <si>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</si>
  <si>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</si>
  <si>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</si>
  <si>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</si>
  <si>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</si>
  <si>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</si>
  <si>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</si>
  <si>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</si>
  <si>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</si>
  <si>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</si>
  <si>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</si>
  <si>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</si>
  <si>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</si>
  <si>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</si>
  <si>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</si>
  <si>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</si>
  <si>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</si>
  <si>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</si>
  <si>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</si>
  <si>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</si>
  <si>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</si>
  <si>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</si>
  <si>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</si>
  <si>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</si>
  <si>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</si>
  <si>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</si>
  <si>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</si>
  <si>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</si>
  <si>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</si>
  <si>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</si>
  <si>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</si>
  <si>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</si>
  <si>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</si>
  <si>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</si>
  <si>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</si>
  <si>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</si>
  <si>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</si>
  <si>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</si>
  <si>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</si>
  <si>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</si>
  <si>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</si>
  <si>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</si>
  <si>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</si>
  <si>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>068</t>
  </si>
  <si>
    <t>2023 г.</t>
  </si>
  <si>
    <t>за год, закончившийся 31 Декабря 2023</t>
  </si>
  <si>
    <t xml:space="preserve"> (прямой метод)</t>
  </si>
  <si>
    <t xml:space="preserve">            приобретение прочих финансовых активов</t>
  </si>
  <si>
    <t>069</t>
  </si>
  <si>
    <t xml:space="preserve">            предоставление займов</t>
  </si>
  <si>
    <t>070</t>
  </si>
  <si>
    <t>071</t>
  </si>
  <si>
    <t xml:space="preserve">            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</si>
  <si>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</si>
  <si>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</si>
  <si>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</si>
  <si>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</si>
  <si>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</si>
  <si>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</si>
  <si>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</si>
  <si>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 xml:space="preserve">            эмиссия акций и других финансовых инструментов</t>
  </si>
  <si>
    <t>091</t>
  </si>
  <si>
    <t xml:space="preserve">            получение займов</t>
  </si>
  <si>
    <t>092</t>
  </si>
  <si>
    <t xml:space="preserve">            полученные вознаграждения </t>
  </si>
  <si>
    <t>093</t>
  </si>
  <si>
    <t>094</t>
  </si>
  <si>
    <t>2. Выбытие денежных средств, всего (сумма строк с 101 по 105)</t>
  </si>
  <si>
    <t>100</t>
  </si>
  <si>
    <t xml:space="preserve">            погашение займов</t>
  </si>
  <si>
    <t>101</t>
  </si>
  <si>
    <t xml:space="preserve">            выплата вознаграждения </t>
  </si>
  <si>
    <t>102</t>
  </si>
  <si>
    <t xml:space="preserve">            выплата дивидендов</t>
  </si>
  <si>
    <t>103</t>
  </si>
  <si>
    <t xml:space="preserve">            выплаты собственникам по акциям организации</t>
  </si>
  <si>
    <t>104</t>
  </si>
  <si>
    <t xml:space="preserve">            прочие выбытия</t>
  </si>
  <si>
    <t>105</t>
  </si>
  <si>
    <t>3. Чистая сумма денежных средств от финансовой деятельности (строка 090 – строка 100)</t>
  </si>
  <si>
    <t>110</t>
  </si>
  <si>
    <t>4. Влияние обменных курсов валют к тенге</t>
  </si>
  <si>
    <t>120</t>
  </si>
  <si>
    <t>5. Влияние изменения балансовой стоимости денежных средств и их эквивалентов</t>
  </si>
  <si>
    <t>130</t>
  </si>
  <si>
    <t>6. Увеличение +/- уменьшение денежных средств (строка 030 +/- строка 080 +/- строка 110 +/- строка 120 +/- строка 130)</t>
  </si>
  <si>
    <t>140</t>
  </si>
  <si>
    <t>7. Денежные средства и их эквиваленты на начало отчетного периода</t>
  </si>
  <si>
    <t>150</t>
  </si>
  <si>
    <t>8. Денежные средства и их эквиваленты на конец отчетного периода</t>
  </si>
  <si>
    <t>160</t>
  </si>
  <si>
    <t>(подпись)</t>
  </si>
  <si>
    <t>Руководитель Елешев Е. С.</t>
  </si>
  <si>
    <t>Главный бухгалтер Старикова-Тлеухан М. В.</t>
  </si>
  <si>
    <t>2022 год</t>
  </si>
  <si>
    <t>1410, Корпоративный подоходный налог</t>
  </si>
  <si>
    <t>за 10 месяцев 2023 года</t>
  </si>
  <si>
    <t>По строке 21  "Прочие активы" отражена сумма выплаченного купонного вознаграждения по ценным бумагам иностранного государства (ISIN US91282CHD65), находящаяся на дату составления отчетности в пути.</t>
  </si>
  <si>
    <t>Анализ счета 5710  за Январь 2023 г. - Декабрь 2023 г.</t>
  </si>
  <si>
    <t>Анализ счета 6110.01  за Январь 2023 г. - Декабрь 2023 г.</t>
  </si>
  <si>
    <t>Января 2024 года</t>
  </si>
  <si>
    <t>Частная компания UD Capital Astana Ltd.</t>
  </si>
  <si>
    <t>Оборотно-сальдовая ведомость  за 2023 г.</t>
  </si>
  <si>
    <t>1150.02, Краткосрочные вклады, размещенные в БВУ, на одну ночь</t>
  </si>
  <si>
    <t>1270.23, Начисленные доходы в виде вознаграждения по срочным вкладам, размещенным в БВУ</t>
  </si>
  <si>
    <t>Пирожников И.А.</t>
  </si>
  <si>
    <t>Z05T8M2, Казахстан, Есильский район, г. Астана, ул. Гейдар Әлиев, д.1</t>
  </si>
  <si>
    <t>+7-701-777-6345</t>
  </si>
  <si>
    <t>+7-701-225-89-00</t>
  </si>
  <si>
    <t>6110.30</t>
  </si>
  <si>
    <t>Доходы, связанные с получением вознаграждения по срочным вкладам</t>
  </si>
  <si>
    <t>По строке 15.6 отражена сумма вознаграждения за агентские услуги. По строке 16.2 отражена сумма за клиринговые сборы АО "Клиринговый центр KASE".</t>
  </si>
  <si>
    <t>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</si>
</sst>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&quot;-&quot;??_);_(@_)"/>
    <numFmt numFmtId="167" formatCode="_([$€]* #,##0.00_);_([$€]* \(#,##0.00\);_([$€]* &quot;-&quot;??_);_(@_)"/>
    <numFmt numFmtId="168" formatCode="_-* #,##0.00_K_Z_T_-;\-* #,##0.00_K_Z_T_-;_-* &quot;-&quot;??_K_Z_T_-;_-@_-"/>
    <numFmt numFmtId="170" formatCode="_-* #,##0_р_._-;\-* #,##0_р_._-;_-* &quot;-&quot;??_р_._-;_-@_-"/>
    <numFmt numFmtId="174" formatCode="_-* #,##0.00\ _₽_-;\-* #,##0.00\ _₽_-;_-* &quot;-&quot;??\ _₽_-;_-@_-"/>
    <numFmt numFmtId="177" formatCode="#,##0,"/>
    <numFmt numFmtId="178" formatCode="[=-923079.23]&quot;(923)&quot;;General"/>
    <numFmt numFmtId="179" formatCode="[=0]&quot;₸&quot;;General"/>
    <numFmt numFmtId="180" formatCode="[=0]&quot;-&quot;;General"/>
    <numFmt numFmtId="181" formatCode="[=-56000000]&quot;(56 000)&quot;;General"/>
    <numFmt numFmtId="182" formatCode="0,"/>
    <numFmt numFmtId="183" formatCode="[=-1516.61]&quot;(2)&quot;;General"/>
  </numFmts>
  <fonts count="1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Montserrat"/>
      <charset val="204"/>
    </font>
    <font>
      <sz val="11"/>
      <color theme="1"/>
      <name val="Montserrat"/>
      <charset val="204"/>
    </font>
    <font>
      <sz val="8"/>
      <color theme="1"/>
      <name val="Montserrat"/>
      <charset val="204"/>
    </font>
    <font>
      <b/>
      <sz val="11"/>
      <color theme="1"/>
      <name val="Montserrat"/>
      <charset val="204"/>
    </font>
    <font>
      <sz val="9"/>
      <color theme="1"/>
      <name val="Montserrat"/>
      <charset val="204"/>
    </font>
    <font>
      <sz val="10"/>
      <color theme="1"/>
      <name val="Montserrat"/>
      <charset val="204"/>
    </font>
    <font>
      <sz val="8"/>
      <name val="Montserrat"/>
      <charset val="204"/>
    </font>
    <font>
      <b/>
      <sz val="10"/>
      <color rgb="FF000000"/>
      <name val="Montserrat"/>
      <charset val="204"/>
    </font>
    <font>
      <b/>
      <sz val="10"/>
      <color theme="1"/>
      <name val="Montserrat"/>
      <charset val="204"/>
    </font>
    <font>
      <sz val="10"/>
      <color rgb="FF000000"/>
      <name val="Montserrat"/>
      <charset val="204"/>
    </font>
    <font>
      <i/>
      <sz val="10"/>
      <color theme="1"/>
      <name val="Montserrat"/>
      <charset val="204"/>
    </font>
    <font>
      <i/>
      <sz val="10"/>
      <color rgb="FF000000"/>
      <name val="Montserrat"/>
      <charset val="204"/>
    </font>
    <font>
      <b/>
      <sz val="9"/>
      <color theme="1"/>
      <name val="Montserrat"/>
      <charset val="204"/>
    </font>
    <font>
      <b/>
      <sz val="9"/>
      <color rgb="FF000000"/>
      <name val="Montserrat"/>
      <charset val="204"/>
    </font>
    <font>
      <sz val="7"/>
      <color theme="1"/>
      <name val="Montserrat"/>
      <charset val="204"/>
    </font>
    <font>
      <sz val="8"/>
      <color rgb="FF000000"/>
      <name val="Montserrat"/>
      <charset val="204"/>
    </font>
    <font>
      <b/>
      <sz val="9"/>
      <color rgb="FF828282"/>
      <name val="Montserrat"/>
      <charset val="204"/>
    </font>
    <font>
      <b/>
      <sz val="8"/>
      <color rgb="FF7A6969"/>
      <name val="Montserrat"/>
      <charset val="204"/>
    </font>
    <font>
      <b/>
      <sz val="9"/>
      <color rgb="FF7A6969"/>
      <name val="Montserrat"/>
      <charset val="204"/>
    </font>
    <font>
      <sz val="9"/>
      <color rgb="FF7A6969"/>
      <name val="Montserrat"/>
      <charset val="204"/>
    </font>
    <font>
      <b/>
      <sz val="10"/>
      <name val="Montserrat"/>
      <charset val="204"/>
    </font>
    <font>
      <b/>
      <sz val="10"/>
      <color rgb="FFFF0000"/>
      <name val="Montserrat"/>
      <charset val="204"/>
    </font>
    <font>
      <sz val="11"/>
      <color theme="0" tint="-0.14999847407452621"/>
      <name val="Montserrat"/>
      <charset val="204"/>
    </font>
    <font>
      <b/>
      <sz val="11"/>
      <name val="Montserrat"/>
      <charset val="204"/>
    </font>
    <font>
      <sz val="7"/>
      <name val="Montserrat"/>
      <charset val="204"/>
    </font>
    <font>
      <sz val="11"/>
      <name val="Montserrat"/>
      <charset val="204"/>
    </font>
    <font>
      <sz val="11"/>
      <color rgb="FF000000"/>
      <name val="Montserrat"/>
      <charset val="204"/>
    </font>
    <font>
      <sz val="10"/>
      <name val="Montserrat"/>
      <charset val="204"/>
    </font>
    <font>
      <u/>
      <sz val="11"/>
      <color theme="10"/>
      <name val="Montserrat"/>
      <charset val="204"/>
    </font>
    <font>
      <sz val="9"/>
      <name val="Montserrat"/>
      <charset val="204"/>
    </font>
    <font>
      <sz val="8"/>
      <color theme="0" tint="-0.249977111117893"/>
      <name val="Montserrat"/>
      <charset val="204"/>
    </font>
    <font>
      <b/>
      <sz val="8"/>
      <color theme="0" tint="-0.249977111117893"/>
      <name val="Montserrat"/>
      <charset val="204"/>
    </font>
    <font>
      <sz val="10"/>
      <color rgb="FFFF0000"/>
      <name val="Montserrat"/>
      <charset val="204"/>
    </font>
    <font>
      <b/>
      <sz val="11"/>
      <color rgb="FF000000"/>
      <name val="Montserrat"/>
      <charset val="204"/>
    </font>
    <font>
      <sz val="8"/>
      <color rgb="FFFF0000"/>
      <name val="Montserrat"/>
      <charset val="204"/>
    </font>
    <font>
      <sz val="10"/>
      <color theme="0" tint="-0.14999847407452621"/>
      <name val="Montserrat"/>
      <charset val="204"/>
    </font>
    <font>
      <b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7"/>
      <color rgb="FFFF0000"/>
      <name val="Montserrat"/>
      <charset val="204"/>
    </font>
    <font>
      <b/>
      <sz val="7"/>
      <color rgb="FFFF0000"/>
      <name val="Montserrat"/>
      <charset val="204"/>
    </font>
    <font>
      <b/>
      <sz val="7"/>
      <color theme="0" tint="-0.249977111117893"/>
      <name val="Montserrat"/>
      <charset val="204"/>
    </font>
    <font>
      <sz val="7"/>
      <color theme="0" tint="-0.249977111117893"/>
      <name val="Montserrat"/>
      <charset val="204"/>
    </font>
    <font>
      <sz val="8"/>
      <color theme="0" tint="-0.14999847407452621"/>
      <name val="Montserrat"/>
      <charset val="204"/>
    </font>
    <font>
      <sz val="6"/>
      <color theme="0" tint="-0.14999847407452621"/>
      <name val="Montserrat"/>
      <charset val="204"/>
    </font>
    <font>
      <sz val="8"/>
      <color theme="0" tint="-0.499984740745262"/>
      <name val="Montserrat"/>
      <charset val="204"/>
    </font>
    <font>
      <sz val="6"/>
      <color rgb="FFFF0000"/>
      <name val="Montserrat"/>
      <charset val="204"/>
    </font>
    <font>
      <b/>
      <sz val="8"/>
      <name val="Arial"/>
      <family val="2"/>
    </font>
    <font>
      <sz val="8"/>
      <color indexed="21"/>
      <name val="Arial"/>
      <family val="2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9"/>
      <color theme="3" tint="0.39997558519241921"/>
      <name val="Times New Roman"/>
      <family val="1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6">
    <xf numFmtId="0" fontId="0" fillId="0" borderId="0"/>
    <xf numFmtId="0" fontId="2" fillId="0" borderId="0"/>
    <xf numFmtId="0" fontId="3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7" fontId="1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7" applyNumberFormat="0" applyAlignment="0" applyProtection="0"/>
    <xf numFmtId="0" fontId="9" fillId="20" borderId="8" applyNumberFormat="0" applyAlignment="0" applyProtection="0"/>
    <xf numFmtId="0" fontId="10" fillId="20" borderId="7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21" borderId="13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3" borderId="1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15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26" fillId="0" borderId="0">
      <alignment horizontal="righ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7" fillId="0" borderId="0">
      <alignment horizontal="center" vertical="top"/>
    </xf>
    <xf numFmtId="0" fontId="28" fillId="0" borderId="0">
      <alignment horizontal="center" vertical="top"/>
    </xf>
    <xf numFmtId="0" fontId="26" fillId="0" borderId="0">
      <alignment horizontal="center" vertical="top"/>
    </xf>
    <xf numFmtId="0" fontId="26" fillId="0" borderId="0">
      <alignment horizontal="righ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right" vertical="top"/>
    </xf>
    <xf numFmtId="0" fontId="28" fillId="0" borderId="0">
      <alignment horizontal="center" vertical="top"/>
    </xf>
    <xf numFmtId="0" fontId="26" fillId="0" borderId="0">
      <alignment horizontal="right" vertical="top"/>
    </xf>
    <xf numFmtId="0" fontId="26" fillId="0" borderId="0">
      <alignment horizontal="righ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7" fillId="0" borderId="0">
      <alignment horizontal="center" vertical="top"/>
    </xf>
    <xf numFmtId="0" fontId="28" fillId="0" borderId="0">
      <alignment horizontal="center" vertical="top"/>
    </xf>
    <xf numFmtId="0" fontId="26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left" vertical="top"/>
    </xf>
    <xf numFmtId="0" fontId="26" fillId="0" borderId="0">
      <alignment horizontal="right" vertical="top"/>
    </xf>
    <xf numFmtId="0" fontId="28" fillId="0" borderId="0">
      <alignment horizontal="center" vertical="top"/>
    </xf>
    <xf numFmtId="0" fontId="28" fillId="0" borderId="0">
      <alignment horizontal="left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165" fontId="29" fillId="0" borderId="0" applyFont="0" applyFill="0" applyBorder="0" applyAlignment="0" applyProtection="0"/>
    <xf numFmtId="0" fontId="30" fillId="0" borderId="0"/>
    <xf numFmtId="0" fontId="29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0" fontId="33" fillId="0" borderId="0"/>
    <xf numFmtId="0" fontId="38" fillId="0" borderId="0" applyNumberFormat="0" applyFill="0" applyBorder="0" applyAlignment="0" applyProtection="0"/>
    <xf numFmtId="0" fontId="39" fillId="0" borderId="0"/>
    <xf numFmtId="165" fontId="1" fillId="0" borderId="0" applyFont="0" applyFill="0" applyBorder="0" applyAlignment="0" applyProtection="0"/>
    <xf numFmtId="0" fontId="4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23" borderId="38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>
      <alignment horizontal="right" vertical="top"/>
    </xf>
    <xf numFmtId="0" fontId="33" fillId="0" borderId="0"/>
    <xf numFmtId="0" fontId="52" fillId="0" borderId="0"/>
    <xf numFmtId="0" fontId="53" fillId="0" borderId="0"/>
    <xf numFmtId="0" fontId="2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0" fontId="33" fillId="0" borderId="0"/>
    <xf numFmtId="164" fontId="30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429">
    <xf numFmtId="0" fontId="0" fillId="0" borderId="0" xfId="0"/>
    <xf numFmtId="0" fontId="6" fillId="0" borderId="0" xfId="1" applyFont="1" applyProtection="1">
      <protection locked="0"/>
    </xf>
    <xf numFmtId="0" fontId="5" fillId="0" borderId="0" xfId="0" applyFont="1"/>
    <xf numFmtId="0" fontId="35" fillId="0" borderId="0" xfId="1" applyFont="1" applyProtection="1">
      <protection locked="0"/>
    </xf>
    <xf numFmtId="0" fontId="35" fillId="0" borderId="0" xfId="1" applyFont="1"/>
    <xf numFmtId="0" fontId="33" fillId="0" borderId="0" xfId="103"/>
    <xf numFmtId="0" fontId="34" fillId="26" borderId="31" xfId="103" applyFont="1" applyFill="1" applyBorder="1" applyAlignment="1">
      <alignment horizontal="left" vertical="center" wrapText="1"/>
    </xf>
    <xf numFmtId="0" fontId="34" fillId="26" borderId="31" xfId="103" applyFont="1" applyFill="1" applyBorder="1" applyAlignment="1">
      <alignment horizontal="center" vertical="center" wrapText="1"/>
    </xf>
    <xf numFmtId="1" fontId="37" fillId="27" borderId="31" xfId="103" applyNumberFormat="1" applyFont="1" applyFill="1" applyBorder="1" applyAlignment="1">
      <alignment horizontal="left" vertical="top"/>
    </xf>
    <xf numFmtId="0" fontId="37" fillId="27" borderId="31" xfId="103" applyFont="1" applyFill="1" applyBorder="1" applyAlignment="1">
      <alignment horizontal="right" vertical="top" wrapText="1"/>
    </xf>
    <xf numFmtId="0" fontId="37" fillId="0" borderId="31" xfId="103" applyFont="1" applyBorder="1" applyAlignment="1">
      <alignment horizontal="left" vertical="top" indent="2"/>
    </xf>
    <xf numFmtId="1" fontId="37" fillId="0" borderId="31" xfId="103" applyNumberFormat="1" applyFont="1" applyBorder="1" applyAlignment="1">
      <alignment horizontal="left" vertical="top"/>
    </xf>
    <xf numFmtId="0" fontId="37" fillId="0" borderId="31" xfId="103" applyFont="1" applyBorder="1" applyAlignment="1">
      <alignment horizontal="right" vertical="top" wrapText="1"/>
    </xf>
    <xf numFmtId="0" fontId="37" fillId="27" borderId="31" xfId="103" applyFont="1" applyFill="1" applyBorder="1" applyAlignment="1">
      <alignment horizontal="left" vertical="top"/>
    </xf>
    <xf numFmtId="4" fontId="37" fillId="27" borderId="31" xfId="103" applyNumberFormat="1" applyFont="1" applyFill="1" applyBorder="1" applyAlignment="1">
      <alignment horizontal="right" vertical="top" wrapText="1"/>
    </xf>
    <xf numFmtId="0" fontId="37" fillId="0" borderId="31" xfId="103" applyFont="1" applyBorder="1" applyAlignment="1">
      <alignment horizontal="left" vertical="top" wrapText="1" indent="2"/>
    </xf>
    <xf numFmtId="0" fontId="35" fillId="30" borderId="0" xfId="1" applyFont="1" applyFill="1" applyProtection="1">
      <protection locked="0"/>
    </xf>
    <xf numFmtId="0" fontId="37" fillId="27" borderId="31" xfId="103" applyFont="1" applyFill="1" applyBorder="1" applyAlignment="1">
      <alignment vertical="top" wrapText="1"/>
    </xf>
    <xf numFmtId="0" fontId="37" fillId="0" borderId="31" xfId="103" applyFont="1" applyBorder="1" applyAlignment="1">
      <alignment vertical="top"/>
    </xf>
    <xf numFmtId="3" fontId="6" fillId="0" borderId="0" xfId="1" applyNumberFormat="1" applyFont="1" applyAlignment="1" applyProtection="1">
      <alignment horizontal="right"/>
      <protection locked="0"/>
    </xf>
    <xf numFmtId="4" fontId="37" fillId="29" borderId="31" xfId="103" applyNumberFormat="1" applyFont="1" applyFill="1" applyBorder="1" applyAlignment="1">
      <alignment horizontal="right" vertical="top" wrapText="1"/>
    </xf>
    <xf numFmtId="0" fontId="36" fillId="0" borderId="0" xfId="1" applyFont="1" applyProtection="1">
      <protection locked="0"/>
    </xf>
    <xf numFmtId="0" fontId="37" fillId="0" borderId="31" xfId="103" applyFont="1" applyBorder="1" applyAlignment="1">
      <alignment vertical="top" wrapText="1" indent="2"/>
    </xf>
    <xf numFmtId="0" fontId="37" fillId="0" borderId="31" xfId="103" applyFont="1" applyBorder="1" applyAlignment="1">
      <alignment horizontal="left" vertical="top"/>
    </xf>
    <xf numFmtId="4" fontId="35" fillId="0" borderId="0" xfId="1" applyNumberFormat="1" applyFont="1" applyProtection="1">
      <protection locked="0"/>
    </xf>
    <xf numFmtId="0" fontId="50" fillId="0" borderId="0" xfId="103" applyFont="1" applyAlignment="1">
      <alignment wrapText="1"/>
    </xf>
    <xf numFmtId="4" fontId="40" fillId="0" borderId="38" xfId="103" applyNumberFormat="1" applyFont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0" fontId="57" fillId="0" borderId="0" xfId="0" applyFont="1"/>
    <xf numFmtId="3" fontId="55" fillId="0" borderId="0" xfId="0" applyNumberFormat="1" applyFont="1"/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56" fillId="0" borderId="0" xfId="0" applyFont="1" applyAlignment="1">
      <alignment horizontal="right"/>
    </xf>
    <xf numFmtId="0" fontId="55" fillId="0" borderId="5" xfId="0" applyFont="1" applyBorder="1" applyAlignment="1">
      <alignment vertical="top" wrapText="1"/>
    </xf>
    <xf numFmtId="0" fontId="61" fillId="0" borderId="5" xfId="0" applyFont="1" applyBorder="1" applyAlignment="1">
      <alignment horizontal="right" vertical="center" wrapText="1"/>
    </xf>
    <xf numFmtId="0" fontId="59" fillId="0" borderId="5" xfId="0" applyFont="1" applyBorder="1" applyAlignment="1">
      <alignment horizontal="right" vertical="center" wrapText="1"/>
    </xf>
    <xf numFmtId="0" fontId="61" fillId="0" borderId="5" xfId="0" applyFont="1" applyBorder="1" applyAlignment="1">
      <alignment horizontal="justify" vertical="center" wrapText="1"/>
    </xf>
    <xf numFmtId="3" fontId="55" fillId="0" borderId="5" xfId="0" applyNumberFormat="1" applyFont="1" applyBorder="1" applyAlignment="1">
      <alignment vertical="top" wrapText="1"/>
    </xf>
    <xf numFmtId="3" fontId="59" fillId="0" borderId="5" xfId="0" applyNumberFormat="1" applyFont="1" applyBorder="1" applyAlignment="1">
      <alignment horizontal="right" vertical="center" wrapText="1"/>
    </xf>
    <xf numFmtId="0" fontId="63" fillId="0" borderId="5" xfId="0" applyFont="1" applyBorder="1" applyAlignment="1">
      <alignment horizontal="justify" vertical="center" wrapText="1"/>
    </xf>
    <xf numFmtId="3" fontId="63" fillId="0" borderId="5" xfId="0" applyNumberFormat="1" applyFont="1" applyBorder="1" applyAlignment="1">
      <alignment horizontal="right" vertical="center" wrapText="1"/>
    </xf>
    <xf numFmtId="0" fontId="63" fillId="0" borderId="5" xfId="0" applyFont="1" applyBorder="1" applyAlignment="1">
      <alignment vertical="center" wrapText="1"/>
    </xf>
    <xf numFmtId="3" fontId="61" fillId="0" borderId="5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55" fillId="0" borderId="0" xfId="0" applyFont="1" applyAlignment="1">
      <alignment vertical="center"/>
    </xf>
    <xf numFmtId="0" fontId="62" fillId="0" borderId="0" xfId="0" applyFont="1"/>
    <xf numFmtId="0" fontId="61" fillId="0" borderId="5" xfId="0" applyFont="1" applyBorder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0" fontId="62" fillId="0" borderId="5" xfId="0" applyFont="1" applyBorder="1" applyAlignment="1">
      <alignment horizontal="justify" vertical="center" wrapText="1"/>
    </xf>
    <xf numFmtId="0" fontId="64" fillId="0" borderId="5" xfId="0" applyFont="1" applyBorder="1" applyAlignment="1">
      <alignment horizontal="justify" vertical="center" wrapText="1"/>
    </xf>
    <xf numFmtId="0" fontId="59" fillId="0" borderId="5" xfId="0" applyFont="1" applyBorder="1" applyAlignment="1">
      <alignment vertical="center" wrapText="1"/>
    </xf>
    <xf numFmtId="0" fontId="65" fillId="0" borderId="5" xfId="0" applyFont="1" applyBorder="1" applyAlignment="1">
      <alignment horizontal="justify" vertical="center" wrapText="1"/>
    </xf>
    <xf numFmtId="4" fontId="61" fillId="0" borderId="5" xfId="0" applyNumberFormat="1" applyFont="1" applyBorder="1" applyAlignment="1">
      <alignment horizontal="right" vertical="center" wrapText="1"/>
    </xf>
    <xf numFmtId="0" fontId="58" fillId="0" borderId="0" xfId="0" applyFont="1" applyAlignment="1">
      <alignment horizontal="center" vertical="center"/>
    </xf>
    <xf numFmtId="0" fontId="55" fillId="0" borderId="5" xfId="0" applyFont="1" applyBorder="1" applyAlignment="1">
      <alignment vertical="center" wrapText="1"/>
    </xf>
    <xf numFmtId="0" fontId="66" fillId="0" borderId="5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5" fillId="0" borderId="33" xfId="0" applyFont="1" applyBorder="1" applyAlignment="1">
      <alignment horizontal="justify" vertical="center"/>
    </xf>
    <xf numFmtId="0" fontId="68" fillId="0" borderId="0" xfId="0" applyFont="1" applyAlignment="1">
      <alignment horizontal="right" vertical="center"/>
    </xf>
    <xf numFmtId="0" fontId="69" fillId="0" borderId="0" xfId="0" applyFont="1" applyAlignment="1">
      <alignment vertical="center" wrapText="1"/>
    </xf>
    <xf numFmtId="3" fontId="61" fillId="0" borderId="5" xfId="0" applyNumberFormat="1" applyFont="1" applyBorder="1" applyAlignment="1">
      <alignment horizontal="right" vertical="center"/>
    </xf>
    <xf numFmtId="0" fontId="70" fillId="0" borderId="0" xfId="0" applyFont="1" applyAlignment="1">
      <alignment horizontal="center" vertical="top" wrapText="1"/>
    </xf>
    <xf numFmtId="3" fontId="63" fillId="0" borderId="5" xfId="0" applyNumberFormat="1" applyFont="1" applyBorder="1" applyAlignment="1">
      <alignment horizontal="right" vertical="center"/>
    </xf>
    <xf numFmtId="0" fontId="71" fillId="32" borderId="36" xfId="0" applyFont="1" applyFill="1" applyBorder="1" applyAlignment="1">
      <alignment horizontal="center" vertical="top" wrapText="1"/>
    </xf>
    <xf numFmtId="0" fontId="72" fillId="32" borderId="36" xfId="0" applyFont="1" applyFill="1" applyBorder="1" applyAlignment="1">
      <alignment horizontal="center" vertical="top" wrapText="1"/>
    </xf>
    <xf numFmtId="0" fontId="72" fillId="32" borderId="36" xfId="0" applyFont="1" applyFill="1" applyBorder="1" applyAlignment="1">
      <alignment horizontal="left" vertical="center" wrapText="1" indent="1"/>
    </xf>
    <xf numFmtId="0" fontId="73" fillId="32" borderId="36" xfId="0" applyFont="1" applyFill="1" applyBorder="1" applyAlignment="1">
      <alignment horizontal="center" vertical="center" wrapText="1"/>
    </xf>
    <xf numFmtId="0" fontId="73" fillId="32" borderId="36" xfId="0" applyFont="1" applyFill="1" applyBorder="1" applyAlignment="1">
      <alignment horizontal="left" vertical="center" wrapText="1" indent="1"/>
    </xf>
    <xf numFmtId="0" fontId="61" fillId="31" borderId="5" xfId="0" applyFont="1" applyFill="1" applyBorder="1" applyAlignment="1">
      <alignment vertical="center" wrapText="1"/>
    </xf>
    <xf numFmtId="3" fontId="61" fillId="31" borderId="5" xfId="0" applyNumberFormat="1" applyFont="1" applyFill="1" applyBorder="1" applyAlignment="1">
      <alignment horizontal="right" vertical="center"/>
    </xf>
    <xf numFmtId="3" fontId="61" fillId="31" borderId="5" xfId="0" applyNumberFormat="1" applyFont="1" applyFill="1" applyBorder="1" applyAlignment="1">
      <alignment horizontal="right" vertical="center" wrapText="1"/>
    </xf>
    <xf numFmtId="3" fontId="76" fillId="0" borderId="0" xfId="0" applyNumberFormat="1" applyFont="1"/>
    <xf numFmtId="0" fontId="54" fillId="0" borderId="0" xfId="0" applyFont="1"/>
    <xf numFmtId="0" fontId="81" fillId="0" borderId="0" xfId="47" applyFont="1"/>
    <xf numFmtId="0" fontId="81" fillId="0" borderId="0" xfId="47" applyFont="1" applyAlignment="1">
      <alignment horizontal="left" vertical="top" wrapText="1"/>
    </xf>
    <xf numFmtId="49" fontId="81" fillId="0" borderId="33" xfId="47" applyNumberFormat="1" applyFont="1" applyBorder="1" applyAlignment="1">
      <alignment horizontal="left" vertical="top"/>
    </xf>
    <xf numFmtId="0" fontId="81" fillId="0" borderId="33" xfId="47" applyFont="1" applyBorder="1" applyAlignment="1">
      <alignment horizontal="left" vertical="top"/>
    </xf>
    <xf numFmtId="3" fontId="81" fillId="0" borderId="0" xfId="47" applyNumberFormat="1" applyFont="1" applyAlignment="1">
      <alignment horizontal="center" vertical="top" wrapText="1"/>
    </xf>
    <xf numFmtId="0" fontId="60" fillId="0" borderId="0" xfId="1" applyFont="1" applyProtection="1">
      <protection locked="0"/>
    </xf>
    <xf numFmtId="49" fontId="82" fillId="0" borderId="33" xfId="104" applyNumberFormat="1" applyFont="1" applyBorder="1" applyAlignment="1" applyProtection="1">
      <alignment horizontal="left" vertical="top"/>
    </xf>
    <xf numFmtId="0" fontId="81" fillId="0" borderId="0" xfId="47" applyFont="1" applyAlignment="1">
      <alignment vertical="top" wrapText="1"/>
    </xf>
    <xf numFmtId="0" fontId="81" fillId="0" borderId="33" xfId="47" applyFont="1" applyBorder="1" applyProtection="1">
      <protection locked="0"/>
    </xf>
    <xf numFmtId="0" fontId="81" fillId="0" borderId="0" xfId="47" applyFont="1" applyProtection="1">
      <protection locked="0"/>
    </xf>
    <xf numFmtId="49" fontId="81" fillId="0" borderId="0" xfId="47" applyNumberFormat="1" applyFont="1"/>
    <xf numFmtId="0" fontId="83" fillId="0" borderId="0" xfId="47" applyFont="1"/>
    <xf numFmtId="14" fontId="83" fillId="0" borderId="0" xfId="1" applyNumberFormat="1" applyFont="1" applyProtection="1">
      <protection locked="0"/>
    </xf>
    <xf numFmtId="14" fontId="81" fillId="0" borderId="0" xfId="1" applyNumberFormat="1" applyFont="1" applyProtection="1">
      <protection locked="0"/>
    </xf>
    <xf numFmtId="0" fontId="81" fillId="0" borderId="0" xfId="47" applyFont="1" applyAlignment="1">
      <alignment wrapText="1"/>
    </xf>
    <xf numFmtId="0" fontId="81" fillId="0" borderId="0" xfId="1" applyFont="1" applyProtection="1">
      <protection locked="0"/>
    </xf>
    <xf numFmtId="0" fontId="55" fillId="0" borderId="0" xfId="0" applyFont="1" applyAlignment="1">
      <alignment wrapText="1"/>
    </xf>
    <xf numFmtId="0" fontId="59" fillId="0" borderId="0" xfId="0" applyFont="1" applyAlignment="1">
      <alignment wrapText="1"/>
    </xf>
    <xf numFmtId="0" fontId="63" fillId="0" borderId="24" xfId="65" quotePrefix="1" applyFont="1" applyBorder="1" applyAlignment="1">
      <alignment horizontal="left" vertical="top" wrapText="1"/>
    </xf>
    <xf numFmtId="0" fontId="74" fillId="0" borderId="0" xfId="1" applyFont="1" applyProtection="1">
      <protection locked="0"/>
    </xf>
    <xf numFmtId="0" fontId="89" fillId="0" borderId="0" xfId="1" applyFont="1" applyProtection="1">
      <protection locked="0"/>
    </xf>
    <xf numFmtId="49" fontId="60" fillId="0" borderId="0" xfId="2" applyNumberFormat="1" applyFont="1" applyAlignment="1" applyProtection="1">
      <alignment horizontal="right"/>
      <protection locked="0"/>
    </xf>
    <xf numFmtId="14" fontId="81" fillId="0" borderId="0" xfId="1" applyNumberFormat="1" applyFont="1" applyAlignment="1" applyProtection="1">
      <alignment horizontal="left"/>
      <protection locked="0"/>
    </xf>
    <xf numFmtId="0" fontId="49" fillId="33" borderId="38" xfId="103" applyFont="1" applyFill="1" applyBorder="1" applyAlignment="1">
      <alignment vertical="top" wrapText="1"/>
    </xf>
    <xf numFmtId="4" fontId="91" fillId="0" borderId="38" xfId="103" applyNumberFormat="1" applyFont="1" applyBorder="1" applyAlignment="1">
      <alignment horizontal="right" vertical="top" wrapText="1"/>
    </xf>
    <xf numFmtId="0" fontId="60" fillId="0" borderId="0" xfId="1" applyFont="1" applyAlignment="1">
      <alignment horizontal="right" wrapText="1"/>
    </xf>
    <xf numFmtId="0" fontId="84" fillId="0" borderId="0" xfId="1" applyFont="1" applyProtection="1">
      <protection locked="0"/>
    </xf>
    <xf numFmtId="0" fontId="92" fillId="0" borderId="0" xfId="1" applyFont="1" applyProtection="1">
      <protection locked="0"/>
    </xf>
    <xf numFmtId="0" fontId="74" fillId="0" borderId="0" xfId="1" applyFont="1" applyAlignment="1" applyProtection="1">
      <alignment horizontal="center"/>
      <protection locked="0"/>
    </xf>
    <xf numFmtId="0" fontId="85" fillId="0" borderId="0" xfId="1" applyFont="1" applyProtection="1">
      <protection locked="0"/>
    </xf>
    <xf numFmtId="0" fontId="93" fillId="0" borderId="0" xfId="1" applyFont="1" applyProtection="1">
      <protection locked="0"/>
    </xf>
    <xf numFmtId="0" fontId="77" fillId="0" borderId="0" xfId="1" applyFont="1" applyAlignment="1" applyProtection="1">
      <alignment horizontal="right"/>
      <protection locked="0"/>
    </xf>
    <xf numFmtId="0" fontId="77" fillId="0" borderId="0" xfId="1" applyFont="1" applyProtection="1">
      <protection locked="0"/>
    </xf>
    <xf numFmtId="0" fontId="81" fillId="0" borderId="0" xfId="1" applyFont="1"/>
    <xf numFmtId="0" fontId="60" fillId="0" borderId="0" xfId="1" applyFont="1" applyAlignment="1">
      <alignment horizontal="right"/>
    </xf>
    <xf numFmtId="0" fontId="81" fillId="0" borderId="0" xfId="1" applyFont="1" applyAlignment="1">
      <alignment horizontal="right"/>
    </xf>
    <xf numFmtId="0" fontId="84" fillId="0" borderId="0" xfId="1" applyFont="1"/>
    <xf numFmtId="0" fontId="92" fillId="0" borderId="0" xfId="1" applyFont="1"/>
    <xf numFmtId="0" fontId="74" fillId="0" borderId="5" xfId="1" applyFont="1" applyBorder="1" applyAlignment="1" applyProtection="1">
      <alignment horizontal="center" vertical="center" wrapText="1"/>
      <protection locked="0"/>
    </xf>
    <xf numFmtId="0" fontId="74" fillId="0" borderId="0" xfId="1" applyFont="1" applyAlignment="1" applyProtection="1">
      <alignment horizontal="center" vertical="center" wrapText="1"/>
      <protection locked="0"/>
    </xf>
    <xf numFmtId="0" fontId="92" fillId="0" borderId="0" xfId="1" applyFont="1" applyAlignment="1" applyProtection="1">
      <alignment horizontal="center" vertical="center"/>
      <protection locked="0"/>
    </xf>
    <xf numFmtId="0" fontId="81" fillId="0" borderId="5" xfId="1" applyFont="1" applyBorder="1" applyAlignment="1" applyProtection="1">
      <alignment horizontal="center"/>
      <protection locked="0"/>
    </xf>
    <xf numFmtId="0" fontId="81" fillId="0" borderId="0" xfId="1" applyFont="1" applyAlignment="1" applyProtection="1">
      <alignment horizontal="center"/>
      <protection locked="0"/>
    </xf>
    <xf numFmtId="0" fontId="95" fillId="0" borderId="39" xfId="1" applyFont="1" applyBorder="1" applyProtection="1">
      <protection locked="0"/>
    </xf>
    <xf numFmtId="0" fontId="61" fillId="0" borderId="16" xfId="73" quotePrefix="1" applyFont="1" applyBorder="1" applyAlignment="1">
      <alignment horizontal="left" vertical="top" wrapText="1"/>
    </xf>
    <xf numFmtId="0" fontId="61" fillId="0" borderId="17" xfId="90" quotePrefix="1" applyFont="1" applyBorder="1" applyAlignment="1">
      <alignment horizontal="center" vertical="top" wrapText="1"/>
    </xf>
    <xf numFmtId="0" fontId="61" fillId="0" borderId="16" xfId="91" quotePrefix="1" applyFont="1" applyBorder="1" applyAlignment="1">
      <alignment horizontal="left" vertical="top" wrapText="1"/>
    </xf>
    <xf numFmtId="0" fontId="61" fillId="0" borderId="18" xfId="91" quotePrefix="1" applyFont="1" applyBorder="1" applyAlignment="1">
      <alignment horizontal="left" vertical="top" wrapText="1"/>
    </xf>
    <xf numFmtId="0" fontId="61" fillId="0" borderId="0" xfId="91" quotePrefix="1" applyFont="1" applyAlignment="1">
      <alignment horizontal="left" vertical="top" wrapText="1"/>
    </xf>
    <xf numFmtId="0" fontId="63" fillId="0" borderId="16" xfId="65" quotePrefix="1" applyFont="1" applyBorder="1" applyAlignment="1">
      <alignment horizontal="left" vertical="top" wrapText="1"/>
    </xf>
    <xf numFmtId="170" fontId="63" fillId="0" borderId="0" xfId="101" applyNumberFormat="1" applyFont="1" applyFill="1" applyBorder="1" applyAlignment="1">
      <alignment horizontal="right" vertical="top" wrapText="1"/>
    </xf>
    <xf numFmtId="3" fontId="95" fillId="0" borderId="39" xfId="1" applyNumberFormat="1" applyFont="1" applyBorder="1" applyProtection="1">
      <protection locked="0"/>
    </xf>
    <xf numFmtId="170" fontId="95" fillId="0" borderId="39" xfId="1" applyNumberFormat="1" applyFont="1" applyBorder="1" applyProtection="1">
      <protection locked="0"/>
    </xf>
    <xf numFmtId="170" fontId="92" fillId="0" borderId="0" xfId="1" applyNumberFormat="1" applyFont="1" applyProtection="1">
      <protection locked="0"/>
    </xf>
    <xf numFmtId="170" fontId="61" fillId="0" borderId="0" xfId="101" quotePrefix="1" applyNumberFormat="1" applyFont="1" applyFill="1" applyBorder="1" applyAlignment="1">
      <alignment horizontal="left" vertical="top" wrapText="1"/>
    </xf>
    <xf numFmtId="4" fontId="95" fillId="0" borderId="39" xfId="1" applyNumberFormat="1" applyFont="1" applyBorder="1" applyProtection="1">
      <protection locked="0"/>
    </xf>
    <xf numFmtId="3" fontId="84" fillId="0" borderId="0" xfId="1" applyNumberFormat="1" applyFont="1" applyProtection="1">
      <protection locked="0"/>
    </xf>
    <xf numFmtId="0" fontId="61" fillId="0" borderId="3" xfId="90" quotePrefix="1" applyFont="1" applyBorder="1" applyAlignment="1">
      <alignment horizontal="center" vertical="top" wrapText="1"/>
    </xf>
    <xf numFmtId="0" fontId="61" fillId="0" borderId="20" xfId="90" quotePrefix="1" applyFont="1" applyBorder="1" applyAlignment="1">
      <alignment horizontal="center" vertical="top" wrapText="1"/>
    </xf>
    <xf numFmtId="0" fontId="61" fillId="24" borderId="16" xfId="73" quotePrefix="1" applyFont="1" applyFill="1" applyBorder="1" applyAlignment="1">
      <alignment horizontal="left" vertical="top" wrapText="1"/>
    </xf>
    <xf numFmtId="0" fontId="61" fillId="24" borderId="20" xfId="90" quotePrefix="1" applyFont="1" applyFill="1" applyBorder="1" applyAlignment="1">
      <alignment horizontal="center" vertical="top" wrapText="1"/>
    </xf>
    <xf numFmtId="170" fontId="61" fillId="0" borderId="0" xfId="101" applyNumberFormat="1" applyFont="1" applyFill="1" applyBorder="1" applyAlignment="1">
      <alignment horizontal="right" vertical="top" wrapText="1"/>
    </xf>
    <xf numFmtId="0" fontId="61" fillId="0" borderId="21" xfId="90" quotePrefix="1" applyFont="1" applyBorder="1" applyAlignment="1">
      <alignment horizontal="center" vertical="top" wrapText="1"/>
    </xf>
    <xf numFmtId="0" fontId="63" fillId="0" borderId="22" xfId="65" quotePrefix="1" applyFont="1" applyBorder="1" applyAlignment="1">
      <alignment horizontal="left" vertical="top" wrapText="1"/>
    </xf>
    <xf numFmtId="0" fontId="61" fillId="24" borderId="22" xfId="91" quotePrefix="1" applyFont="1" applyFill="1" applyBorder="1" applyAlignment="1">
      <alignment horizontal="left" vertical="top" wrapText="1"/>
    </xf>
    <xf numFmtId="0" fontId="61" fillId="0" borderId="45" xfId="73" quotePrefix="1" applyFont="1" applyBorder="1" applyAlignment="1">
      <alignment horizontal="left" vertical="top" wrapText="1"/>
    </xf>
    <xf numFmtId="0" fontId="61" fillId="0" borderId="46" xfId="90" quotePrefix="1" applyFont="1" applyBorder="1" applyAlignment="1">
      <alignment horizontal="center" vertical="top" wrapText="1"/>
    </xf>
    <xf numFmtId="0" fontId="63" fillId="0" borderId="45" xfId="65" quotePrefix="1" applyFont="1" applyBorder="1" applyAlignment="1">
      <alignment horizontal="left" vertical="top" wrapText="1"/>
    </xf>
    <xf numFmtId="0" fontId="63" fillId="0" borderId="48" xfId="65" quotePrefix="1" applyFont="1" applyBorder="1" applyAlignment="1">
      <alignment horizontal="left" vertical="top" wrapText="1"/>
    </xf>
    <xf numFmtId="0" fontId="61" fillId="0" borderId="48" xfId="90" quotePrefix="1" applyFont="1" applyBorder="1" applyAlignment="1">
      <alignment horizontal="center" vertical="top" wrapText="1"/>
    </xf>
    <xf numFmtId="0" fontId="61" fillId="24" borderId="48" xfId="91" quotePrefix="1" applyFont="1" applyFill="1" applyBorder="1" applyAlignment="1">
      <alignment horizontal="left" vertical="top" wrapText="1"/>
    </xf>
    <xf numFmtId="0" fontId="61" fillId="24" borderId="48" xfId="90" quotePrefix="1" applyFont="1" applyFill="1" applyBorder="1" applyAlignment="1">
      <alignment horizontal="center" vertical="top" wrapText="1"/>
    </xf>
    <xf numFmtId="0" fontId="61" fillId="24" borderId="48" xfId="73" quotePrefix="1" applyFont="1" applyFill="1" applyBorder="1" applyAlignment="1">
      <alignment horizontal="left" vertical="top" wrapText="1"/>
    </xf>
    <xf numFmtId="3" fontId="96" fillId="0" borderId="0" xfId="1" applyNumberFormat="1" applyFont="1" applyProtection="1">
      <protection locked="0"/>
    </xf>
    <xf numFmtId="3" fontId="88" fillId="0" borderId="0" xfId="1" applyNumberFormat="1" applyFont="1" applyProtection="1">
      <protection locked="0"/>
    </xf>
    <xf numFmtId="0" fontId="79" fillId="0" borderId="0" xfId="1" applyFont="1" applyProtection="1">
      <protection locked="0"/>
    </xf>
    <xf numFmtId="49" fontId="81" fillId="0" borderId="0" xfId="47" applyNumberFormat="1" applyFont="1" applyAlignment="1">
      <alignment horizontal="left" vertical="top"/>
    </xf>
    <xf numFmtId="0" fontId="49" fillId="33" borderId="38" xfId="103" applyFont="1" applyFill="1" applyBorder="1" applyAlignment="1">
      <alignment horizontal="right" vertical="top" wrapText="1"/>
    </xf>
    <xf numFmtId="170" fontId="63" fillId="0" borderId="16" xfId="101" applyNumberFormat="1" applyFont="1" applyFill="1" applyBorder="1" applyAlignment="1">
      <alignment horizontal="right" vertical="center" wrapText="1"/>
    </xf>
    <xf numFmtId="170" fontId="61" fillId="0" borderId="16" xfId="101" quotePrefix="1" applyNumberFormat="1" applyFont="1" applyFill="1" applyBorder="1" applyAlignment="1">
      <alignment horizontal="left" vertical="center" wrapText="1"/>
    </xf>
    <xf numFmtId="170" fontId="63" fillId="0" borderId="18" xfId="101" applyNumberFormat="1" applyFont="1" applyFill="1" applyBorder="1" applyAlignment="1">
      <alignment horizontal="right" vertical="center" wrapText="1"/>
    </xf>
    <xf numFmtId="170" fontId="63" fillId="0" borderId="1" xfId="101" applyNumberFormat="1" applyFont="1" applyFill="1" applyBorder="1" applyAlignment="1">
      <alignment horizontal="right" vertical="center" wrapText="1"/>
    </xf>
    <xf numFmtId="170" fontId="61" fillId="24" borderId="19" xfId="101" applyNumberFormat="1" applyFont="1" applyFill="1" applyBorder="1" applyAlignment="1">
      <alignment horizontal="right" vertical="center" wrapText="1"/>
    </xf>
    <xf numFmtId="170" fontId="61" fillId="0" borderId="16" xfId="101" quotePrefix="1" applyNumberFormat="1" applyFont="1" applyBorder="1" applyAlignment="1">
      <alignment horizontal="left" vertical="center" wrapText="1"/>
    </xf>
    <xf numFmtId="170" fontId="63" fillId="0" borderId="16" xfId="101" applyNumberFormat="1" applyFont="1" applyBorder="1" applyAlignment="1">
      <alignment horizontal="right" vertical="center" wrapText="1"/>
    </xf>
    <xf numFmtId="170" fontId="63" fillId="28" borderId="22" xfId="101" applyNumberFormat="1" applyFont="1" applyFill="1" applyBorder="1" applyAlignment="1">
      <alignment horizontal="right" vertical="center" wrapText="1"/>
    </xf>
    <xf numFmtId="170" fontId="63" fillId="0" borderId="22" xfId="101" applyNumberFormat="1" applyFont="1" applyBorder="1" applyAlignment="1">
      <alignment horizontal="right" vertical="center" wrapText="1"/>
    </xf>
    <xf numFmtId="170" fontId="61" fillId="0" borderId="22" xfId="101" quotePrefix="1" applyNumberFormat="1" applyFont="1" applyBorder="1" applyAlignment="1">
      <alignment horizontal="left" vertical="center" wrapText="1"/>
    </xf>
    <xf numFmtId="170" fontId="63" fillId="0" borderId="22" xfId="101" applyNumberFormat="1" applyFont="1" applyFill="1" applyBorder="1" applyAlignment="1">
      <alignment horizontal="right" vertical="center" wrapText="1"/>
    </xf>
    <xf numFmtId="170" fontId="61" fillId="0" borderId="45" xfId="101" quotePrefix="1" applyNumberFormat="1" applyFont="1" applyBorder="1" applyAlignment="1">
      <alignment horizontal="left" vertical="center" wrapText="1"/>
    </xf>
    <xf numFmtId="170" fontId="63" fillId="0" borderId="47" xfId="101" applyNumberFormat="1" applyFont="1" applyBorder="1" applyAlignment="1">
      <alignment horizontal="right" vertical="center" wrapText="1"/>
    </xf>
    <xf numFmtId="170" fontId="63" fillId="0" borderId="45" xfId="101" applyNumberFormat="1" applyFont="1" applyBorder="1" applyAlignment="1">
      <alignment horizontal="right" vertical="center" wrapText="1"/>
    </xf>
    <xf numFmtId="170" fontId="63" fillId="0" borderId="48" xfId="101" applyNumberFormat="1" applyFont="1" applyBorder="1" applyAlignment="1">
      <alignment horizontal="right" vertical="center" wrapText="1"/>
    </xf>
    <xf numFmtId="170" fontId="61" fillId="0" borderId="48" xfId="101" quotePrefix="1" applyNumberFormat="1" applyFont="1" applyBorder="1" applyAlignment="1">
      <alignment horizontal="left" vertical="center" wrapText="1"/>
    </xf>
    <xf numFmtId="170" fontId="61" fillId="24" borderId="48" xfId="101" applyNumberFormat="1" applyFont="1" applyFill="1" applyBorder="1" applyAlignment="1">
      <alignment horizontal="right" vertical="center" wrapText="1"/>
    </xf>
    <xf numFmtId="3" fontId="60" fillId="0" borderId="0" xfId="1" applyNumberFormat="1" applyFont="1" applyAlignment="1" applyProtection="1">
      <alignment horizontal="right"/>
      <protection locked="0"/>
    </xf>
    <xf numFmtId="0" fontId="79" fillId="0" borderId="0" xfId="1" applyFont="1" applyAlignment="1" applyProtection="1">
      <alignment horizontal="right"/>
      <protection locked="0"/>
    </xf>
    <xf numFmtId="0" fontId="79" fillId="0" borderId="0" xfId="1" applyFont="1"/>
    <xf numFmtId="0" fontId="79" fillId="0" borderId="0" xfId="1" applyFont="1" applyAlignment="1">
      <alignment horizontal="right"/>
    </xf>
    <xf numFmtId="3" fontId="60" fillId="0" borderId="0" xfId="1" applyNumberFormat="1" applyFont="1" applyAlignment="1">
      <alignment horizontal="right"/>
    </xf>
    <xf numFmtId="0" fontId="77" fillId="0" borderId="5" xfId="1" applyFont="1" applyBorder="1" applyAlignment="1" applyProtection="1">
      <alignment horizontal="center" vertical="center" wrapText="1"/>
      <protection locked="0"/>
    </xf>
    <xf numFmtId="0" fontId="77" fillId="0" borderId="2" xfId="1" applyFont="1" applyBorder="1" applyAlignment="1" applyProtection="1">
      <alignment horizontal="center" vertical="center" wrapText="1"/>
      <protection locked="0"/>
    </xf>
    <xf numFmtId="0" fontId="79" fillId="0" borderId="5" xfId="1" applyFont="1" applyBorder="1" applyAlignment="1" applyProtection="1">
      <alignment horizontal="center"/>
      <protection locked="0"/>
    </xf>
    <xf numFmtId="0" fontId="79" fillId="0" borderId="2" xfId="1" applyFont="1" applyBorder="1" applyAlignment="1" applyProtection="1">
      <alignment horizontal="center"/>
      <protection locked="0"/>
    </xf>
    <xf numFmtId="0" fontId="87" fillId="0" borderId="25" xfId="72" quotePrefix="1" applyFont="1" applyBorder="1" applyAlignment="1">
      <alignment horizontal="left" vertical="top" wrapText="1"/>
    </xf>
    <xf numFmtId="0" fontId="87" fillId="0" borderId="17" xfId="85" quotePrefix="1" applyFont="1" applyBorder="1" applyAlignment="1">
      <alignment horizontal="center" vertical="top" wrapText="1"/>
    </xf>
    <xf numFmtId="170" fontId="87" fillId="0" borderId="16" xfId="101" applyNumberFormat="1" applyFont="1" applyBorder="1" applyAlignment="1">
      <alignment horizontal="right" vertical="top" wrapText="1"/>
    </xf>
    <xf numFmtId="0" fontId="87" fillId="0" borderId="16" xfId="73" quotePrefix="1" applyFont="1" applyBorder="1" applyAlignment="1">
      <alignment horizontal="left" vertical="top" wrapText="1"/>
    </xf>
    <xf numFmtId="170" fontId="80" fillId="0" borderId="16" xfId="101" quotePrefix="1" applyNumberFormat="1" applyFont="1" applyBorder="1" applyAlignment="1">
      <alignment horizontal="left" vertical="top" wrapText="1"/>
    </xf>
    <xf numFmtId="170" fontId="80" fillId="0" borderId="17" xfId="101" quotePrefix="1" applyNumberFormat="1" applyFont="1" applyBorder="1" applyAlignment="1">
      <alignment horizontal="left" vertical="top" wrapText="1"/>
    </xf>
    <xf numFmtId="170" fontId="80" fillId="0" borderId="30" xfId="101" quotePrefix="1" applyNumberFormat="1" applyFont="1" applyBorder="1" applyAlignment="1">
      <alignment horizontal="left" vertical="top" wrapText="1"/>
    </xf>
    <xf numFmtId="170" fontId="80" fillId="0" borderId="5" xfId="101" quotePrefix="1" applyNumberFormat="1" applyFont="1" applyBorder="1" applyAlignment="1">
      <alignment horizontal="left" vertical="top" wrapText="1"/>
    </xf>
    <xf numFmtId="0" fontId="80" fillId="0" borderId="16" xfId="70" quotePrefix="1" applyFont="1" applyBorder="1" applyAlignment="1">
      <alignment horizontal="left" vertical="top" wrapText="1"/>
    </xf>
    <xf numFmtId="170" fontId="80" fillId="0" borderId="16" xfId="101" applyNumberFormat="1" applyFont="1" applyBorder="1" applyAlignment="1">
      <alignment horizontal="right" vertical="top" wrapText="1"/>
    </xf>
    <xf numFmtId="170" fontId="80" fillId="0" borderId="17" xfId="101" applyNumberFormat="1" applyFont="1" applyBorder="1" applyAlignment="1">
      <alignment horizontal="right" vertical="top" wrapText="1"/>
    </xf>
    <xf numFmtId="170" fontId="80" fillId="0" borderId="30" xfId="101" applyNumberFormat="1" applyFont="1" applyBorder="1" applyAlignment="1">
      <alignment horizontal="right" vertical="top" wrapText="1"/>
    </xf>
    <xf numFmtId="170" fontId="80" fillId="0" borderId="5" xfId="101" applyNumberFormat="1" applyFont="1" applyBorder="1" applyAlignment="1">
      <alignment horizontal="right" vertical="top" wrapText="1"/>
    </xf>
    <xf numFmtId="170" fontId="80" fillId="0" borderId="16" xfId="101" applyNumberFormat="1" applyFont="1" applyFill="1" applyBorder="1" applyAlignment="1">
      <alignment horizontal="right" vertical="top" wrapText="1"/>
    </xf>
    <xf numFmtId="170" fontId="80" fillId="0" borderId="30" xfId="101" applyNumberFormat="1" applyFont="1" applyFill="1" applyBorder="1" applyAlignment="1">
      <alignment horizontal="right" vertical="top" wrapText="1"/>
    </xf>
    <xf numFmtId="170" fontId="80" fillId="0" borderId="5" xfId="101" applyNumberFormat="1" applyFont="1" applyFill="1" applyBorder="1" applyAlignment="1">
      <alignment horizontal="right" vertical="top" wrapText="1"/>
    </xf>
    <xf numFmtId="0" fontId="80" fillId="0" borderId="16" xfId="73" quotePrefix="1" applyFont="1" applyBorder="1" applyAlignment="1">
      <alignment horizontal="left" vertical="top" wrapText="1" indent="2"/>
    </xf>
    <xf numFmtId="170" fontId="80" fillId="0" borderId="17" xfId="101" quotePrefix="1" applyNumberFormat="1" applyFont="1" applyFill="1" applyBorder="1" applyAlignment="1">
      <alignment horizontal="left" vertical="top" wrapText="1"/>
    </xf>
    <xf numFmtId="170" fontId="80" fillId="0" borderId="30" xfId="101" quotePrefix="1" applyNumberFormat="1" applyFont="1" applyFill="1" applyBorder="1" applyAlignment="1">
      <alignment horizontal="left" vertical="top" wrapText="1"/>
    </xf>
    <xf numFmtId="170" fontId="80" fillId="0" borderId="5" xfId="101" quotePrefix="1" applyNumberFormat="1" applyFont="1" applyFill="1" applyBorder="1" applyAlignment="1">
      <alignment horizontal="left" vertical="top" wrapText="1"/>
    </xf>
    <xf numFmtId="0" fontId="80" fillId="25" borderId="16" xfId="70" quotePrefix="1" applyFont="1" applyFill="1" applyBorder="1" applyAlignment="1">
      <alignment horizontal="left" vertical="top" wrapText="1" indent="1"/>
    </xf>
    <xf numFmtId="0" fontId="87" fillId="25" borderId="17" xfId="85" quotePrefix="1" applyFont="1" applyFill="1" applyBorder="1" applyAlignment="1">
      <alignment horizontal="center" vertical="top" wrapText="1"/>
    </xf>
    <xf numFmtId="170" fontId="80" fillId="25" borderId="16" xfId="101" applyNumberFormat="1" applyFont="1" applyFill="1" applyBorder="1" applyAlignment="1">
      <alignment horizontal="right" vertical="top" wrapText="1"/>
    </xf>
    <xf numFmtId="170" fontId="80" fillId="0" borderId="17" xfId="101" applyNumberFormat="1" applyFont="1" applyFill="1" applyBorder="1" applyAlignment="1">
      <alignment horizontal="right" vertical="top" wrapText="1"/>
    </xf>
    <xf numFmtId="0" fontId="80" fillId="0" borderId="16" xfId="70" quotePrefix="1" applyFont="1" applyBorder="1" applyAlignment="1">
      <alignment horizontal="left" vertical="top" wrapText="1" indent="2"/>
    </xf>
    <xf numFmtId="0" fontId="80" fillId="0" borderId="16" xfId="70" quotePrefix="1" applyFont="1" applyBorder="1" applyAlignment="1">
      <alignment horizontal="left" vertical="top" wrapText="1" indent="1"/>
    </xf>
    <xf numFmtId="0" fontId="87" fillId="0" borderId="16" xfId="70" quotePrefix="1" applyFont="1" applyBorder="1" applyAlignment="1">
      <alignment horizontal="left" vertical="top" wrapText="1"/>
    </xf>
    <xf numFmtId="170" fontId="87" fillId="0" borderId="16" xfId="101" applyNumberFormat="1" applyFont="1" applyFill="1" applyBorder="1" applyAlignment="1">
      <alignment horizontal="right" vertical="top" wrapText="1"/>
    </xf>
    <xf numFmtId="0" fontId="87" fillId="0" borderId="16" xfId="73" quotePrefix="1" applyFont="1" applyBorder="1" applyAlignment="1">
      <alignment horizontal="left" vertical="top" wrapText="1" indent="2"/>
    </xf>
    <xf numFmtId="0" fontId="87" fillId="0" borderId="3" xfId="85" quotePrefix="1" applyFont="1" applyBorder="1" applyAlignment="1">
      <alignment horizontal="center" vertical="top" wrapText="1"/>
    </xf>
    <xf numFmtId="170" fontId="80" fillId="0" borderId="3" xfId="101" quotePrefix="1" applyNumberFormat="1" applyFont="1" applyFill="1" applyBorder="1" applyAlignment="1">
      <alignment horizontal="left" vertical="top" wrapText="1"/>
    </xf>
    <xf numFmtId="0" fontId="87" fillId="0" borderId="20" xfId="85" quotePrefix="1" applyFont="1" applyBorder="1" applyAlignment="1">
      <alignment horizontal="center" vertical="top" wrapText="1"/>
    </xf>
    <xf numFmtId="170" fontId="80" fillId="0" borderId="20" xfId="101" applyNumberFormat="1" applyFont="1" applyFill="1" applyBorder="1" applyAlignment="1">
      <alignment horizontal="right" vertical="top" wrapText="1"/>
    </xf>
    <xf numFmtId="170" fontId="87" fillId="0" borderId="20" xfId="101" applyNumberFormat="1" applyFont="1" applyFill="1" applyBorder="1" applyAlignment="1">
      <alignment horizontal="right" vertical="top" wrapText="1"/>
    </xf>
    <xf numFmtId="170" fontId="87" fillId="0" borderId="30" xfId="101" applyNumberFormat="1" applyFont="1" applyFill="1" applyBorder="1" applyAlignment="1">
      <alignment horizontal="right" vertical="top" wrapText="1"/>
    </xf>
    <xf numFmtId="170" fontId="87" fillId="0" borderId="5" xfId="101" applyNumberFormat="1" applyFont="1" applyFill="1" applyBorder="1" applyAlignment="1">
      <alignment horizontal="right" vertical="top" wrapText="1"/>
    </xf>
    <xf numFmtId="170" fontId="80" fillId="0" borderId="20" xfId="101" quotePrefix="1" applyNumberFormat="1" applyFont="1" applyFill="1" applyBorder="1" applyAlignment="1">
      <alignment horizontal="left" vertical="top" wrapText="1"/>
    </xf>
    <xf numFmtId="0" fontId="87" fillId="0" borderId="21" xfId="85" quotePrefix="1" applyFont="1" applyBorder="1" applyAlignment="1">
      <alignment horizontal="center" vertical="top" wrapText="1"/>
    </xf>
    <xf numFmtId="170" fontId="80" fillId="0" borderId="21" xfId="101" applyNumberFormat="1" applyFont="1" applyFill="1" applyBorder="1" applyAlignment="1">
      <alignment horizontal="right" vertical="top" wrapText="1"/>
    </xf>
    <xf numFmtId="170" fontId="87" fillId="0" borderId="20" xfId="101" applyNumberFormat="1" applyFont="1" applyBorder="1" applyAlignment="1">
      <alignment horizontal="right" vertical="top" wrapText="1"/>
    </xf>
    <xf numFmtId="170" fontId="87" fillId="0" borderId="30" xfId="101" applyNumberFormat="1" applyFont="1" applyBorder="1" applyAlignment="1">
      <alignment horizontal="right" vertical="top" wrapText="1"/>
    </xf>
    <xf numFmtId="170" fontId="87" fillId="0" borderId="5" xfId="101" applyNumberFormat="1" applyFont="1" applyBorder="1" applyAlignment="1">
      <alignment horizontal="right" vertical="top" wrapText="1"/>
    </xf>
    <xf numFmtId="0" fontId="87" fillId="24" borderId="16" xfId="75" quotePrefix="1" applyFont="1" applyFill="1" applyBorder="1" applyAlignment="1">
      <alignment horizontal="left" vertical="top" wrapText="1"/>
    </xf>
    <xf numFmtId="0" fontId="87" fillId="24" borderId="20" xfId="85" quotePrefix="1" applyFont="1" applyFill="1" applyBorder="1" applyAlignment="1">
      <alignment horizontal="center" vertical="top" wrapText="1"/>
    </xf>
    <xf numFmtId="170" fontId="87" fillId="24" borderId="16" xfId="101" applyNumberFormat="1" applyFont="1" applyFill="1" applyBorder="1" applyAlignment="1">
      <alignment horizontal="right" vertical="top" wrapText="1"/>
    </xf>
    <xf numFmtId="170" fontId="80" fillId="0" borderId="20" xfId="101" applyNumberFormat="1" applyFont="1" applyBorder="1" applyAlignment="1">
      <alignment horizontal="right" vertical="top" wrapText="1"/>
    </xf>
    <xf numFmtId="170" fontId="87" fillId="0" borderId="21" xfId="101" applyNumberFormat="1" applyFont="1" applyFill="1" applyBorder="1" applyAlignment="1">
      <alignment horizontal="right" vertical="top" wrapText="1"/>
    </xf>
    <xf numFmtId="170" fontId="80" fillId="0" borderId="20" xfId="101" quotePrefix="1" applyNumberFormat="1" applyFont="1" applyBorder="1" applyAlignment="1">
      <alignment horizontal="left" vertical="top" wrapText="1"/>
    </xf>
    <xf numFmtId="170" fontId="80" fillId="0" borderId="21" xfId="101" quotePrefix="1" applyNumberFormat="1" applyFont="1" applyFill="1" applyBorder="1" applyAlignment="1">
      <alignment horizontal="left" vertical="top" wrapText="1"/>
    </xf>
    <xf numFmtId="0" fontId="80" fillId="0" borderId="26" xfId="70" quotePrefix="1" applyFont="1" applyBorder="1" applyAlignment="1">
      <alignment horizontal="left" vertical="top" wrapText="1"/>
    </xf>
    <xf numFmtId="0" fontId="87" fillId="0" borderId="27" xfId="85" quotePrefix="1" applyFont="1" applyBorder="1" applyAlignment="1">
      <alignment horizontal="center" vertical="top" wrapText="1"/>
    </xf>
    <xf numFmtId="170" fontId="80" fillId="0" borderId="29" xfId="101" applyNumberFormat="1" applyFont="1" applyFill="1" applyBorder="1" applyAlignment="1">
      <alignment horizontal="right" vertical="top" wrapText="1"/>
    </xf>
    <xf numFmtId="170" fontId="80" fillId="28" borderId="26" xfId="101" applyNumberFormat="1" applyFont="1" applyFill="1" applyBorder="1" applyAlignment="1">
      <alignment horizontal="right" vertical="top" wrapText="1"/>
    </xf>
    <xf numFmtId="170" fontId="80" fillId="0" borderId="29" xfId="101" applyNumberFormat="1" applyFont="1" applyBorder="1" applyAlignment="1">
      <alignment horizontal="right" vertical="top" wrapText="1"/>
    </xf>
    <xf numFmtId="0" fontId="87" fillId="0" borderId="26" xfId="70" quotePrefix="1" applyFont="1" applyBorder="1" applyAlignment="1">
      <alignment horizontal="left" vertical="top" wrapText="1"/>
    </xf>
    <xf numFmtId="0" fontId="87" fillId="24" borderId="26" xfId="75" quotePrefix="1" applyFont="1" applyFill="1" applyBorder="1" applyAlignment="1">
      <alignment horizontal="left" vertical="top" wrapText="1"/>
    </xf>
    <xf numFmtId="0" fontId="87" fillId="24" borderId="27" xfId="85" quotePrefix="1" applyFont="1" applyFill="1" applyBorder="1" applyAlignment="1">
      <alignment horizontal="center" vertical="top" wrapText="1"/>
    </xf>
    <xf numFmtId="170" fontId="87" fillId="24" borderId="26" xfId="101" applyNumberFormat="1" applyFont="1" applyFill="1" applyBorder="1" applyAlignment="1">
      <alignment horizontal="right" vertical="top" wrapText="1"/>
    </xf>
    <xf numFmtId="170" fontId="80" fillId="0" borderId="26" xfId="101" quotePrefix="1" applyNumberFormat="1" applyFont="1" applyBorder="1" applyAlignment="1">
      <alignment horizontal="left" vertical="top" wrapText="1"/>
    </xf>
    <xf numFmtId="170" fontId="80" fillId="0" borderId="27" xfId="101" quotePrefix="1" applyNumberFormat="1" applyFont="1" applyBorder="1" applyAlignment="1">
      <alignment horizontal="left" vertical="top" wrapText="1"/>
    </xf>
    <xf numFmtId="170" fontId="80" fillId="0" borderId="28" xfId="101" quotePrefix="1" applyNumberFormat="1" applyFont="1" applyBorder="1" applyAlignment="1">
      <alignment horizontal="left" vertical="top" wrapText="1"/>
    </xf>
    <xf numFmtId="170" fontId="87" fillId="28" borderId="29" xfId="101" applyNumberFormat="1" applyFont="1" applyFill="1" applyBorder="1" applyAlignment="1">
      <alignment horizontal="right" vertical="top" wrapText="1"/>
    </xf>
    <xf numFmtId="0" fontId="80" fillId="0" borderId="42" xfId="70" quotePrefix="1" applyFont="1" applyBorder="1" applyAlignment="1">
      <alignment horizontal="left" vertical="top" wrapText="1"/>
    </xf>
    <xf numFmtId="0" fontId="87" fillId="0" borderId="43" xfId="85" quotePrefix="1" applyFont="1" applyBorder="1" applyAlignment="1">
      <alignment horizontal="center" vertical="top" wrapText="1"/>
    </xf>
    <xf numFmtId="170" fontId="80" fillId="0" borderId="42" xfId="101" quotePrefix="1" applyNumberFormat="1" applyFont="1" applyBorder="1" applyAlignment="1">
      <alignment horizontal="left" vertical="top" wrapText="1"/>
    </xf>
    <xf numFmtId="170" fontId="80" fillId="0" borderId="43" xfId="101" quotePrefix="1" applyNumberFormat="1" applyFont="1" applyBorder="1" applyAlignment="1">
      <alignment horizontal="left" vertical="top" wrapText="1"/>
    </xf>
    <xf numFmtId="170" fontId="80" fillId="0" borderId="44" xfId="101" quotePrefix="1" applyNumberFormat="1" applyFont="1" applyBorder="1" applyAlignment="1">
      <alignment horizontal="left" vertical="top" wrapText="1"/>
    </xf>
    <xf numFmtId="0" fontId="87" fillId="24" borderId="42" xfId="75" quotePrefix="1" applyFont="1" applyFill="1" applyBorder="1" applyAlignment="1">
      <alignment horizontal="left" vertical="top" wrapText="1"/>
    </xf>
    <xf numFmtId="0" fontId="87" fillId="24" borderId="43" xfId="85" quotePrefix="1" applyFont="1" applyFill="1" applyBorder="1" applyAlignment="1">
      <alignment horizontal="center" vertical="top" wrapText="1"/>
    </xf>
    <xf numFmtId="170" fontId="87" fillId="24" borderId="42" xfId="101" applyNumberFormat="1" applyFont="1" applyFill="1" applyBorder="1" applyAlignment="1">
      <alignment horizontal="right" vertical="top" wrapText="1"/>
    </xf>
    <xf numFmtId="0" fontId="87" fillId="0" borderId="42" xfId="70" quotePrefix="1" applyFont="1" applyBorder="1" applyAlignment="1">
      <alignment horizontal="left" vertical="top" wrapText="1"/>
    </xf>
    <xf numFmtId="170" fontId="87" fillId="0" borderId="42" xfId="101" applyNumberFormat="1" applyFont="1" applyBorder="1" applyAlignment="1">
      <alignment horizontal="right" vertical="top" wrapText="1"/>
    </xf>
    <xf numFmtId="170" fontId="87" fillId="0" borderId="44" xfId="101" applyNumberFormat="1" applyFont="1" applyBorder="1" applyAlignment="1">
      <alignment horizontal="right" vertical="top" wrapText="1"/>
    </xf>
    <xf numFmtId="0" fontId="97" fillId="0" borderId="0" xfId="1" applyFont="1" applyAlignment="1" applyProtection="1">
      <alignment horizontal="right"/>
      <protection locked="0"/>
    </xf>
    <xf numFmtId="170" fontId="89" fillId="0" borderId="0" xfId="1" applyNumberFormat="1" applyFont="1" applyAlignment="1" applyProtection="1">
      <alignment horizontal="right"/>
      <protection locked="0"/>
    </xf>
    <xf numFmtId="170" fontId="98" fillId="0" borderId="0" xfId="1" applyNumberFormat="1" applyFont="1" applyAlignment="1" applyProtection="1">
      <alignment horizontal="right"/>
      <protection locked="0"/>
    </xf>
    <xf numFmtId="0" fontId="76" fillId="0" borderId="0" xfId="1" applyFont="1" applyProtection="1">
      <protection locked="0"/>
    </xf>
    <xf numFmtId="170" fontId="86" fillId="0" borderId="0" xfId="1" applyNumberFormat="1" applyFont="1" applyAlignment="1" applyProtection="1">
      <alignment horizontal="right"/>
      <protection locked="0"/>
    </xf>
    <xf numFmtId="170" fontId="99" fillId="0" borderId="0" xfId="1" applyNumberFormat="1" applyFont="1" applyAlignment="1" applyProtection="1">
      <alignment horizontal="right"/>
      <protection locked="0"/>
    </xf>
    <xf numFmtId="170" fontId="79" fillId="0" borderId="0" xfId="1" applyNumberFormat="1" applyFont="1" applyProtection="1">
      <protection locked="0"/>
    </xf>
    <xf numFmtId="0" fontId="81" fillId="0" borderId="0" xfId="47" applyFont="1" applyAlignment="1" applyProtection="1">
      <alignment wrapText="1"/>
      <protection locked="0"/>
    </xf>
    <xf numFmtId="0" fontId="56" fillId="0" borderId="0" xfId="0" applyFont="1" applyAlignment="1">
      <alignment vertical="center"/>
    </xf>
    <xf numFmtId="0" fontId="100" fillId="0" borderId="0" xfId="161" applyFont="1" applyAlignment="1">
      <alignment wrapText="1"/>
    </xf>
    <xf numFmtId="0" fontId="33" fillId="0" borderId="0" xfId="161"/>
    <xf numFmtId="0" fontId="33" fillId="0" borderId="0" xfId="161" applyAlignment="1">
      <alignment vertical="top" wrapText="1"/>
    </xf>
    <xf numFmtId="0" fontId="101" fillId="33" borderId="40" xfId="161" applyFont="1" applyFill="1" applyBorder="1" applyAlignment="1">
      <alignment vertical="top" wrapText="1"/>
    </xf>
    <xf numFmtId="0" fontId="101" fillId="33" borderId="38" xfId="161" applyFont="1" applyFill="1" applyBorder="1" applyAlignment="1">
      <alignment vertical="top"/>
    </xf>
    <xf numFmtId="0" fontId="101" fillId="33" borderId="38" xfId="161" applyFont="1" applyFill="1" applyBorder="1" applyAlignment="1">
      <alignment vertical="top" wrapText="1"/>
    </xf>
    <xf numFmtId="0" fontId="101" fillId="33" borderId="38" xfId="161" applyFont="1" applyFill="1" applyBorder="1" applyAlignment="1">
      <alignment horizontal="right" vertical="top" wrapText="1"/>
    </xf>
    <xf numFmtId="0" fontId="33" fillId="0" borderId="38" xfId="161" applyBorder="1" applyAlignment="1">
      <alignment vertical="top" indent="2"/>
    </xf>
    <xf numFmtId="0" fontId="33" fillId="0" borderId="38" xfId="161" applyBorder="1" applyAlignment="1">
      <alignment vertical="top"/>
    </xf>
    <xf numFmtId="4" fontId="33" fillId="0" borderId="38" xfId="161" applyNumberFormat="1" applyBorder="1" applyAlignment="1">
      <alignment horizontal="right" vertical="top" wrapText="1"/>
    </xf>
    <xf numFmtId="0" fontId="33" fillId="0" borderId="38" xfId="161" applyBorder="1" applyAlignment="1">
      <alignment horizontal="right" vertical="top" wrapText="1"/>
    </xf>
    <xf numFmtId="4" fontId="101" fillId="33" borderId="38" xfId="161" applyNumberFormat="1" applyFont="1" applyFill="1" applyBorder="1" applyAlignment="1">
      <alignment horizontal="right" vertical="top" wrapText="1"/>
    </xf>
    <xf numFmtId="170" fontId="63" fillId="0" borderId="49" xfId="101" applyNumberFormat="1" applyFont="1" applyFill="1" applyBorder="1" applyAlignment="1">
      <alignment horizontal="right" vertical="center" wrapText="1"/>
    </xf>
    <xf numFmtId="170" fontId="63" fillId="0" borderId="37" xfId="101" applyNumberFormat="1" applyFont="1" applyFill="1" applyBorder="1" applyAlignment="1">
      <alignment horizontal="right" vertical="center" wrapText="1"/>
    </xf>
    <xf numFmtId="170" fontId="61" fillId="24" borderId="47" xfId="101" applyNumberFormat="1" applyFont="1" applyFill="1" applyBorder="1" applyAlignment="1">
      <alignment horizontal="right" vertical="center" wrapText="1"/>
    </xf>
    <xf numFmtId="170" fontId="63" fillId="28" borderId="45" xfId="101" applyNumberFormat="1" applyFont="1" applyFill="1" applyBorder="1" applyAlignment="1">
      <alignment horizontal="right" vertical="center" wrapText="1"/>
    </xf>
    <xf numFmtId="170" fontId="63" fillId="0" borderId="45" xfId="101" applyNumberFormat="1" applyFont="1" applyFill="1" applyBorder="1" applyAlignment="1">
      <alignment horizontal="right" vertical="center" wrapText="1"/>
    </xf>
    <xf numFmtId="0" fontId="37" fillId="0" borderId="40" xfId="103" applyFont="1" applyBorder="1" applyAlignment="1">
      <alignment vertical="top"/>
    </xf>
    <xf numFmtId="4" fontId="37" fillId="0" borderId="31" xfId="103" applyNumberFormat="1" applyFont="1" applyBorder="1" applyAlignment="1">
      <alignment horizontal="right" vertical="top" wrapText="1"/>
    </xf>
    <xf numFmtId="0" fontId="37" fillId="0" borderId="40" xfId="103" applyFont="1" applyBorder="1" applyAlignment="1">
      <alignment horizontal="right" vertical="top" wrapText="1"/>
    </xf>
    <xf numFmtId="4" fontId="51" fillId="0" borderId="14" xfId="103" applyNumberFormat="1" applyFont="1" applyBorder="1" applyAlignment="1">
      <alignment horizontal="right" vertical="top" wrapText="1"/>
    </xf>
    <xf numFmtId="4" fontId="37" fillId="34" borderId="40" xfId="103" applyNumberFormat="1" applyFont="1" applyFill="1" applyBorder="1" applyAlignment="1">
      <alignment horizontal="right" vertical="top" wrapText="1"/>
    </xf>
    <xf numFmtId="174" fontId="35" fillId="0" borderId="0" xfId="1" applyNumberFormat="1" applyFont="1" applyProtection="1">
      <protection locked="0"/>
    </xf>
    <xf numFmtId="0" fontId="40" fillId="0" borderId="38" xfId="103" applyFont="1" applyBorder="1" applyAlignment="1">
      <alignment vertical="top" wrapText="1" indent="2"/>
    </xf>
    <xf numFmtId="0" fontId="40" fillId="0" borderId="38" xfId="103" applyFont="1" applyBorder="1" applyAlignment="1">
      <alignment vertical="top"/>
    </xf>
    <xf numFmtId="0" fontId="49" fillId="33" borderId="40" xfId="103" applyFont="1" applyFill="1" applyBorder="1" applyAlignment="1">
      <alignment vertical="top" wrapText="1"/>
    </xf>
    <xf numFmtId="0" fontId="49" fillId="33" borderId="38" xfId="103" applyFont="1" applyFill="1" applyBorder="1" applyAlignment="1">
      <alignment vertical="top"/>
    </xf>
    <xf numFmtId="0" fontId="49" fillId="33" borderId="38" xfId="103" applyFont="1" applyFill="1" applyBorder="1" applyAlignment="1">
      <alignment vertical="top" indent="2"/>
    </xf>
    <xf numFmtId="4" fontId="49" fillId="33" borderId="38" xfId="103" applyNumberFormat="1" applyFont="1" applyFill="1" applyBorder="1" applyAlignment="1">
      <alignment horizontal="right" vertical="top" wrapText="1"/>
    </xf>
    <xf numFmtId="0" fontId="40" fillId="0" borderId="38" xfId="103" applyFont="1" applyBorder="1" applyAlignment="1">
      <alignment vertical="top" wrapText="1"/>
    </xf>
    <xf numFmtId="0" fontId="33" fillId="0" borderId="0" xfId="102"/>
    <xf numFmtId="0" fontId="90" fillId="0" borderId="0" xfId="102" applyFont="1"/>
    <xf numFmtId="0" fontId="33" fillId="0" borderId="0" xfId="102" applyAlignment="1">
      <alignment horizontal="left"/>
    </xf>
    <xf numFmtId="0" fontId="40" fillId="0" borderId="5" xfId="102" applyFont="1" applyBorder="1" applyAlignment="1">
      <alignment horizontal="center" vertical="top" wrapText="1"/>
    </xf>
    <xf numFmtId="0" fontId="104" fillId="0" borderId="5" xfId="102" applyFont="1" applyBorder="1" applyAlignment="1">
      <alignment horizontal="center" vertical="center"/>
    </xf>
    <xf numFmtId="0" fontId="90" fillId="0" borderId="5" xfId="102" applyFont="1" applyBorder="1" applyAlignment="1">
      <alignment horizontal="center" vertical="center"/>
    </xf>
    <xf numFmtId="177" fontId="90" fillId="0" borderId="5" xfId="102" applyNumberFormat="1" applyFont="1" applyBorder="1" applyAlignment="1">
      <alignment horizontal="right" vertical="center"/>
    </xf>
    <xf numFmtId="0" fontId="40" fillId="0" borderId="5" xfId="102" applyFont="1" applyBorder="1" applyAlignment="1">
      <alignment horizontal="right"/>
    </xf>
    <xf numFmtId="0" fontId="40" fillId="0" borderId="5" xfId="102" applyFont="1" applyBorder="1" applyAlignment="1">
      <alignment horizontal="center" vertical="center"/>
    </xf>
    <xf numFmtId="177" fontId="40" fillId="33" borderId="5" xfId="102" applyNumberFormat="1" applyFont="1" applyFill="1" applyBorder="1" applyAlignment="1">
      <alignment horizontal="right" vertical="center"/>
    </xf>
    <xf numFmtId="0" fontId="40" fillId="33" borderId="5" xfId="102" applyFont="1" applyFill="1" applyBorder="1" applyAlignment="1">
      <alignment horizontal="right" vertical="center"/>
    </xf>
    <xf numFmtId="178" fontId="40" fillId="33" borderId="5" xfId="102" applyNumberFormat="1" applyFont="1" applyFill="1" applyBorder="1" applyAlignment="1">
      <alignment horizontal="right" vertical="center"/>
    </xf>
    <xf numFmtId="177" fontId="90" fillId="0" borderId="4" xfId="102" applyNumberFormat="1" applyFont="1" applyBorder="1" applyAlignment="1">
      <alignment horizontal="right" vertical="center"/>
    </xf>
    <xf numFmtId="0" fontId="40" fillId="0" borderId="5" xfId="102" applyFont="1" applyBorder="1" applyAlignment="1">
      <alignment horizontal="right" vertical="top"/>
    </xf>
    <xf numFmtId="0" fontId="40" fillId="0" borderId="5" xfId="102" applyFont="1" applyBorder="1" applyAlignment="1">
      <alignment horizontal="center" vertical="top"/>
    </xf>
    <xf numFmtId="0" fontId="40" fillId="0" borderId="4" xfId="102" applyFont="1" applyBorder="1" applyAlignment="1">
      <alignment horizontal="center" vertical="center"/>
    </xf>
    <xf numFmtId="0" fontId="40" fillId="33" borderId="4" xfId="102" applyFont="1" applyFill="1" applyBorder="1" applyAlignment="1">
      <alignment horizontal="right" vertical="center"/>
    </xf>
    <xf numFmtId="0" fontId="90" fillId="0" borderId="4" xfId="102" applyFont="1" applyBorder="1" applyAlignment="1">
      <alignment horizontal="center" vertical="center"/>
    </xf>
    <xf numFmtId="179" fontId="40" fillId="0" borderId="5" xfId="102" applyNumberFormat="1" applyFont="1" applyBorder="1" applyAlignment="1">
      <alignment horizontal="right" vertical="top"/>
    </xf>
    <xf numFmtId="0" fontId="33" fillId="0" borderId="0" xfId="102" applyAlignment="1">
      <alignment vertical="top" wrapText="1"/>
    </xf>
    <xf numFmtId="0" fontId="104" fillId="0" borderId="50" xfId="102" applyFont="1" applyBorder="1" applyAlignment="1">
      <alignment horizontal="center" vertical="center"/>
    </xf>
    <xf numFmtId="0" fontId="40" fillId="0" borderId="34" xfId="102" applyFont="1" applyBorder="1" applyAlignment="1">
      <alignment wrapText="1"/>
    </xf>
    <xf numFmtId="0" fontId="40" fillId="0" borderId="34" xfId="102" applyFont="1" applyBorder="1" applyAlignment="1">
      <alignment vertical="center"/>
    </xf>
    <xf numFmtId="0" fontId="40" fillId="0" borderId="34" xfId="102" applyFont="1" applyBorder="1"/>
    <xf numFmtId="0" fontId="40" fillId="0" borderId="34" xfId="102" applyFont="1" applyBorder="1" applyAlignment="1">
      <alignment vertical="center" wrapText="1"/>
    </xf>
    <xf numFmtId="0" fontId="40" fillId="0" borderId="51" xfId="102" applyFont="1" applyBorder="1" applyAlignment="1">
      <alignment vertical="center"/>
    </xf>
    <xf numFmtId="0" fontId="40" fillId="0" borderId="51" xfId="102" applyFont="1" applyBorder="1" applyAlignment="1">
      <alignment vertical="top"/>
    </xf>
    <xf numFmtId="0" fontId="40" fillId="0" borderId="51" xfId="102" applyFont="1" applyBorder="1" applyAlignment="1">
      <alignment vertical="center" wrapText="1"/>
    </xf>
    <xf numFmtId="0" fontId="90" fillId="0" borderId="37" xfId="102" applyFont="1" applyBorder="1" applyAlignment="1">
      <alignment vertical="center"/>
    </xf>
    <xf numFmtId="0" fontId="40" fillId="0" borderId="37" xfId="102" applyFont="1" applyBorder="1" applyAlignment="1">
      <alignment vertical="center"/>
    </xf>
    <xf numFmtId="0" fontId="40" fillId="0" borderId="34" xfId="102" applyFont="1" applyBorder="1" applyAlignment="1">
      <alignment vertical="top"/>
    </xf>
    <xf numFmtId="0" fontId="40" fillId="0" borderId="5" xfId="102" applyFont="1" applyBorder="1" applyAlignment="1">
      <alignment vertical="top"/>
    </xf>
    <xf numFmtId="0" fontId="1" fillId="0" borderId="50" xfId="102" applyFont="1" applyBorder="1" applyAlignment="1">
      <alignment vertical="center"/>
    </xf>
    <xf numFmtId="0" fontId="103" fillId="0" borderId="0" xfId="102" applyFont="1"/>
    <xf numFmtId="0" fontId="50" fillId="0" borderId="0" xfId="102" applyFont="1" applyAlignment="1">
      <alignment vertical="center"/>
    </xf>
    <xf numFmtId="180" fontId="40" fillId="33" borderId="5" xfId="102" applyNumberFormat="1" applyFont="1" applyFill="1" applyBorder="1" applyAlignment="1">
      <alignment horizontal="right" vertical="center"/>
    </xf>
    <xf numFmtId="180" fontId="90" fillId="0" borderId="5" xfId="102" applyNumberFormat="1" applyFont="1" applyBorder="1" applyAlignment="1">
      <alignment horizontal="right" vertical="center"/>
    </xf>
    <xf numFmtId="181" fontId="90" fillId="0" borderId="4" xfId="102" applyNumberFormat="1" applyFont="1" applyBorder="1" applyAlignment="1">
      <alignment horizontal="right" vertical="center"/>
    </xf>
    <xf numFmtId="182" fontId="90" fillId="0" borderId="4" xfId="102" applyNumberFormat="1" applyFont="1" applyBorder="1" applyAlignment="1">
      <alignment horizontal="right" vertical="center"/>
    </xf>
    <xf numFmtId="0" fontId="90" fillId="33" borderId="4" xfId="102" applyFont="1" applyFill="1" applyBorder="1" applyAlignment="1">
      <alignment horizontal="right" vertical="center"/>
    </xf>
    <xf numFmtId="0" fontId="33" fillId="0" borderId="33" xfId="102" applyBorder="1"/>
    <xf numFmtId="0" fontId="105" fillId="0" borderId="0" xfId="102" applyFont="1" applyAlignment="1">
      <alignment horizontal="center" vertical="top"/>
    </xf>
    <xf numFmtId="0" fontId="90" fillId="0" borderId="0" xfId="102" applyFont="1" applyAlignment="1">
      <alignment horizontal="left"/>
    </xf>
    <xf numFmtId="0" fontId="40" fillId="0" borderId="6" xfId="102" applyFont="1" applyBorder="1" applyAlignment="1">
      <alignment vertical="center" wrapText="1"/>
    </xf>
    <xf numFmtId="0" fontId="40" fillId="0" borderId="4" xfId="102" applyFont="1" applyBorder="1" applyAlignment="1">
      <alignment vertical="center" wrapText="1"/>
    </xf>
    <xf numFmtId="177" fontId="40" fillId="33" borderId="4" xfId="162" applyNumberFormat="1" applyFont="1" applyFill="1" applyBorder="1" applyAlignment="1">
      <alignment horizontal="right" vertical="center"/>
    </xf>
    <xf numFmtId="0" fontId="40" fillId="33" borderId="4" xfId="162" applyFont="1" applyFill="1" applyBorder="1" applyAlignment="1">
      <alignment horizontal="right" vertical="center"/>
    </xf>
    <xf numFmtId="177" fontId="90" fillId="0" borderId="4" xfId="162" applyNumberFormat="1" applyFont="1" applyBorder="1" applyAlignment="1">
      <alignment horizontal="right" vertical="center"/>
    </xf>
    <xf numFmtId="177" fontId="90" fillId="0" borderId="5" xfId="162" applyNumberFormat="1" applyFont="1" applyBorder="1" applyAlignment="1">
      <alignment horizontal="right" vertical="center"/>
    </xf>
    <xf numFmtId="0" fontId="40" fillId="0" borderId="5" xfId="162" applyFont="1" applyBorder="1" applyAlignment="1">
      <alignment horizontal="right"/>
    </xf>
    <xf numFmtId="177" fontId="40" fillId="33" borderId="5" xfId="162" applyNumberFormat="1" applyFont="1" applyFill="1" applyBorder="1" applyAlignment="1">
      <alignment horizontal="right" vertical="center"/>
    </xf>
    <xf numFmtId="0" fontId="40" fillId="33" borderId="5" xfId="162" applyFont="1" applyFill="1" applyBorder="1" applyAlignment="1">
      <alignment horizontal="right" vertical="center"/>
    </xf>
    <xf numFmtId="0" fontId="40" fillId="0" borderId="5" xfId="162" applyFont="1" applyBorder="1" applyAlignment="1">
      <alignment horizontal="right" vertical="top"/>
    </xf>
    <xf numFmtId="0" fontId="90" fillId="0" borderId="37" xfId="102" applyFont="1" applyBorder="1" applyAlignment="1">
      <alignment horizontal="center" vertical="center"/>
    </xf>
    <xf numFmtId="179" fontId="40" fillId="0" borderId="5" xfId="162" applyNumberFormat="1" applyFont="1" applyBorder="1" applyAlignment="1">
      <alignment horizontal="right" vertical="top"/>
    </xf>
    <xf numFmtId="0" fontId="90" fillId="0" borderId="4" xfId="162" applyFont="1" applyBorder="1" applyAlignment="1">
      <alignment horizontal="right" vertical="center"/>
    </xf>
    <xf numFmtId="183" fontId="90" fillId="0" borderId="4" xfId="162" applyNumberFormat="1" applyFont="1" applyBorder="1" applyAlignment="1">
      <alignment horizontal="right" vertical="center"/>
    </xf>
    <xf numFmtId="0" fontId="90" fillId="33" borderId="4" xfId="162" applyFont="1" applyFill="1" applyBorder="1" applyAlignment="1">
      <alignment horizontal="right" vertical="center"/>
    </xf>
    <xf numFmtId="0" fontId="103" fillId="0" borderId="0" xfId="103" applyFont="1" applyAlignment="1">
      <alignment wrapText="1"/>
    </xf>
    <xf numFmtId="4" fontId="106" fillId="0" borderId="0" xfId="1" applyNumberFormat="1" applyFont="1" applyProtection="1">
      <protection locked="0"/>
    </xf>
    <xf numFmtId="0" fontId="106" fillId="0" borderId="0" xfId="1" applyFont="1" applyProtection="1">
      <protection locked="0"/>
    </xf>
    <xf numFmtId="0" fontId="107" fillId="0" borderId="38" xfId="103" applyFont="1" applyBorder="1" applyAlignment="1">
      <alignment vertical="top"/>
    </xf>
    <xf numFmtId="4" fontId="107" fillId="0" borderId="38" xfId="103" applyNumberFormat="1" applyFont="1" applyBorder="1" applyAlignment="1">
      <alignment horizontal="right" vertical="top" wrapText="1"/>
    </xf>
    <xf numFmtId="0" fontId="107" fillId="0" borderId="38" xfId="103" applyFont="1" applyBorder="1" applyAlignment="1">
      <alignment horizontal="right" vertical="top" wrapText="1"/>
    </xf>
    <xf numFmtId="0" fontId="108" fillId="33" borderId="38" xfId="103" applyFont="1" applyFill="1" applyBorder="1" applyAlignment="1">
      <alignment vertical="top" wrapText="1"/>
    </xf>
    <xf numFmtId="4" fontId="108" fillId="33" borderId="38" xfId="103" applyNumberFormat="1" applyFont="1" applyFill="1" applyBorder="1" applyAlignment="1">
      <alignment horizontal="right" vertical="top" wrapText="1"/>
    </xf>
    <xf numFmtId="4" fontId="40" fillId="0" borderId="38" xfId="103" applyNumberFormat="1" applyFont="1" applyBorder="1" applyAlignment="1">
      <alignment vertical="top"/>
    </xf>
    <xf numFmtId="0" fontId="40" fillId="0" borderId="38" xfId="103" applyFont="1" applyBorder="1" applyAlignment="1">
      <alignment horizontal="right" vertical="top" wrapText="1"/>
    </xf>
    <xf numFmtId="0" fontId="111" fillId="0" borderId="0" xfId="163" applyFont="1" applyAlignment="1">
      <alignment wrapText="1"/>
    </xf>
    <xf numFmtId="0" fontId="33" fillId="0" borderId="0" xfId="163"/>
    <xf numFmtId="0" fontId="112" fillId="0" borderId="0" xfId="163" applyFont="1" applyAlignment="1">
      <alignment wrapText="1"/>
    </xf>
    <xf numFmtId="0" fontId="113" fillId="0" borderId="0" xfId="163" applyFont="1" applyAlignment="1">
      <alignment vertical="top" wrapText="1"/>
    </xf>
    <xf numFmtId="0" fontId="110" fillId="33" borderId="40" xfId="163" applyFont="1" applyFill="1" applyBorder="1" applyAlignment="1">
      <alignment vertical="top" wrapText="1"/>
    </xf>
    <xf numFmtId="0" fontId="34" fillId="0" borderId="38" xfId="163" applyFont="1" applyBorder="1" applyAlignment="1">
      <alignment vertical="top" wrapText="1"/>
    </xf>
    <xf numFmtId="0" fontId="34" fillId="0" borderId="38" xfId="163" applyFont="1" applyBorder="1" applyAlignment="1">
      <alignment horizontal="right" vertical="top" wrapText="1"/>
    </xf>
    <xf numFmtId="4" fontId="34" fillId="0" borderId="38" xfId="163" applyNumberFormat="1" applyFont="1" applyBorder="1" applyAlignment="1">
      <alignment horizontal="right" vertical="top" wrapText="1"/>
    </xf>
    <xf numFmtId="0" fontId="109" fillId="0" borderId="38" xfId="163" applyFont="1" applyBorder="1" applyAlignment="1">
      <alignment vertical="top" wrapText="1" indent="2"/>
    </xf>
    <xf numFmtId="0" fontId="109" fillId="0" borderId="38" xfId="163" applyFont="1" applyBorder="1" applyAlignment="1">
      <alignment horizontal="right" vertical="top" wrapText="1"/>
    </xf>
    <xf numFmtId="4" fontId="109" fillId="0" borderId="38" xfId="163" applyNumberFormat="1" applyFont="1" applyBorder="1" applyAlignment="1">
      <alignment horizontal="right" vertical="top" wrapText="1"/>
    </xf>
    <xf numFmtId="0" fontId="109" fillId="0" borderId="38" xfId="163" applyFont="1" applyBorder="1" applyAlignment="1">
      <alignment vertical="top" wrapText="1" indent="4"/>
    </xf>
    <xf numFmtId="2" fontId="109" fillId="0" borderId="38" xfId="163" applyNumberFormat="1" applyFont="1" applyBorder="1" applyAlignment="1">
      <alignment horizontal="right" vertical="top" wrapText="1"/>
    </xf>
    <xf numFmtId="0" fontId="110" fillId="33" borderId="40" xfId="163" applyFont="1" applyFill="1" applyBorder="1" applyAlignment="1">
      <alignment vertical="top"/>
    </xf>
    <xf numFmtId="0" fontId="110" fillId="33" borderId="40" xfId="163" applyFont="1" applyFill="1" applyBorder="1" applyAlignment="1">
      <alignment horizontal="right" vertical="top" wrapText="1"/>
    </xf>
    <xf numFmtId="40" fontId="110" fillId="33" borderId="40" xfId="163" applyNumberFormat="1" applyFont="1" applyFill="1" applyBorder="1" applyAlignment="1">
      <alignment horizontal="right" vertical="top" wrapText="1"/>
    </xf>
    <xf numFmtId="170" fontId="81" fillId="0" borderId="0" xfId="1" applyNumberFormat="1" applyFont="1" applyProtection="1">
      <protection locked="0"/>
    </xf>
    <xf numFmtId="0" fontId="109" fillId="0" borderId="38" xfId="103" applyFont="1" applyBorder="1" applyAlignment="1">
      <alignment vertical="top"/>
    </xf>
    <xf numFmtId="4" fontId="109" fillId="0" borderId="38" xfId="103" applyNumberFormat="1" applyFont="1" applyBorder="1" applyAlignment="1">
      <alignment horizontal="right" vertical="top" wrapText="1"/>
    </xf>
    <xf numFmtId="0" fontId="109" fillId="0" borderId="38" xfId="103" applyFont="1" applyBorder="1" applyAlignment="1">
      <alignment horizontal="right" vertical="top" wrapText="1"/>
    </xf>
    <xf numFmtId="0" fontId="110" fillId="33" borderId="38" xfId="103" applyFont="1" applyFill="1" applyBorder="1" applyAlignment="1">
      <alignment vertical="top" wrapText="1"/>
    </xf>
    <xf numFmtId="4" fontId="110" fillId="33" borderId="38" xfId="103" applyNumberFormat="1" applyFont="1" applyFill="1" applyBorder="1" applyAlignment="1">
      <alignment horizontal="right" vertical="top" wrapText="1"/>
    </xf>
    <xf numFmtId="0" fontId="110" fillId="33" borderId="38" xfId="103" applyFont="1" applyFill="1" applyBorder="1" applyAlignment="1">
      <alignment vertical="top"/>
    </xf>
    <xf numFmtId="0" fontId="110" fillId="33" borderId="38" xfId="103" applyFont="1" applyFill="1" applyBorder="1" applyAlignment="1">
      <alignment horizontal="right" vertical="top" wrapText="1"/>
    </xf>
    <xf numFmtId="0" fontId="109" fillId="0" borderId="38" xfId="103" applyFont="1" applyBorder="1" applyAlignment="1">
      <alignment vertical="top" wrapText="1" indent="4"/>
    </xf>
    <xf numFmtId="0" fontId="110" fillId="33" borderId="38" xfId="164" applyFont="1" applyFill="1" applyBorder="1" applyAlignment="1">
      <alignment vertical="top" wrapText="1"/>
    </xf>
    <xf numFmtId="0" fontId="109" fillId="0" borderId="38" xfId="164" applyFont="1" applyBorder="1" applyAlignment="1">
      <alignment vertical="top"/>
    </xf>
    <xf numFmtId="4" fontId="109" fillId="0" borderId="38" xfId="164" applyNumberFormat="1" applyFont="1" applyBorder="1" applyAlignment="1">
      <alignment horizontal="right" vertical="top" wrapText="1"/>
    </xf>
    <xf numFmtId="0" fontId="109" fillId="0" borderId="38" xfId="164" applyFont="1" applyBorder="1" applyAlignment="1">
      <alignment horizontal="right" vertical="top" wrapText="1"/>
    </xf>
    <xf numFmtId="4" fontId="110" fillId="33" borderId="38" xfId="164" applyNumberFormat="1" applyFont="1" applyFill="1" applyBorder="1" applyAlignment="1">
      <alignment horizontal="right" vertical="top" wrapText="1"/>
    </xf>
    <xf numFmtId="4" fontId="40" fillId="0" borderId="14" xfId="165" applyNumberFormat="1" applyFont="1" applyBorder="1" applyAlignment="1">
      <alignment horizontal="right" vertical="top" wrapText="1"/>
    </xf>
    <xf numFmtId="0" fontId="40" fillId="0" borderId="14" xfId="165" applyFont="1" applyBorder="1" applyAlignment="1">
      <alignment horizontal="right" vertical="top" wrapText="1"/>
    </xf>
    <xf numFmtId="4" fontId="49" fillId="33" borderId="14" xfId="165" applyNumberFormat="1" applyFont="1" applyFill="1" applyBorder="1" applyAlignment="1">
      <alignment horizontal="right" vertical="top" wrapText="1"/>
    </xf>
    <xf numFmtId="0" fontId="49" fillId="33" borderId="14" xfId="165" applyFont="1" applyFill="1" applyBorder="1" applyAlignment="1">
      <alignment horizontal="right" vertical="top" wrapText="1"/>
    </xf>
    <xf numFmtId="4" fontId="34" fillId="0" borderId="14" xfId="165" applyNumberFormat="1" applyFont="1" applyBorder="1" applyAlignment="1">
      <alignment horizontal="right" vertical="top" wrapText="1"/>
    </xf>
    <xf numFmtId="170" fontId="87" fillId="0" borderId="26" xfId="101" applyNumberFormat="1" applyFont="1" applyBorder="1" applyAlignment="1">
      <alignment horizontal="right" vertical="top" wrapText="1"/>
    </xf>
    <xf numFmtId="170" fontId="97" fillId="0" borderId="0" xfId="1" applyNumberFormat="1" applyFont="1" applyAlignment="1" applyProtection="1">
      <alignment horizontal="right"/>
      <protection locked="0"/>
    </xf>
    <xf numFmtId="170" fontId="63" fillId="0" borderId="23" xfId="101" applyNumberFormat="1" applyFont="1" applyBorder="1" applyAlignment="1">
      <alignment horizontal="right" vertical="center" wrapText="1"/>
    </xf>
    <xf numFmtId="170" fontId="61" fillId="0" borderId="23" xfId="101" quotePrefix="1" applyNumberFormat="1" applyFont="1" applyBorder="1" applyAlignment="1">
      <alignment horizontal="left" vertical="center" wrapText="1"/>
    </xf>
    <xf numFmtId="170" fontId="61" fillId="24" borderId="23" xfId="101" applyNumberFormat="1" applyFont="1" applyFill="1" applyBorder="1" applyAlignment="1">
      <alignment horizontal="right" vertical="center" wrapText="1"/>
    </xf>
    <xf numFmtId="0" fontId="78" fillId="0" borderId="0" xfId="1" applyFont="1" applyAlignment="1" applyProtection="1">
      <alignment horizontal="right" wrapText="1"/>
      <protection locked="0"/>
    </xf>
    <xf numFmtId="0" fontId="78" fillId="0" borderId="0" xfId="1" applyFont="1" applyAlignment="1">
      <alignment horizontal="right" wrapText="1"/>
    </xf>
    <xf numFmtId="0" fontId="77" fillId="0" borderId="0" xfId="1" applyFont="1" applyAlignment="1" applyProtection="1">
      <alignment horizontal="center"/>
      <protection locked="0"/>
    </xf>
    <xf numFmtId="0" fontId="94" fillId="0" borderId="39" xfId="1" applyFont="1" applyBorder="1" applyAlignment="1" applyProtection="1">
      <alignment horizontal="center" vertical="center" wrapText="1"/>
      <protection locked="0"/>
    </xf>
    <xf numFmtId="0" fontId="81" fillId="0" borderId="0" xfId="1" applyFont="1" applyAlignment="1" applyProtection="1">
      <alignment wrapText="1"/>
      <protection locked="0"/>
    </xf>
    <xf numFmtId="0" fontId="59" fillId="0" borderId="0" xfId="0" applyFont="1" applyAlignment="1">
      <alignment wrapText="1"/>
    </xf>
    <xf numFmtId="0" fontId="110" fillId="33" borderId="40" xfId="163" applyFont="1" applyFill="1" applyBorder="1" applyAlignment="1">
      <alignment vertical="top" wrapText="1"/>
    </xf>
    <xf numFmtId="49" fontId="81" fillId="0" borderId="0" xfId="47" applyNumberFormat="1" applyFont="1" applyAlignment="1">
      <alignment horizontal="left" vertical="top" wrapText="1"/>
    </xf>
    <xf numFmtId="0" fontId="110" fillId="33" borderId="41" xfId="163" applyFont="1" applyFill="1" applyBorder="1" applyAlignment="1">
      <alignment vertical="top" wrapText="1"/>
    </xf>
    <xf numFmtId="0" fontId="110" fillId="33" borderId="32" xfId="163" applyFont="1" applyFill="1" applyBorder="1" applyAlignment="1">
      <alignment vertical="top" wrapText="1"/>
    </xf>
    <xf numFmtId="0" fontId="79" fillId="0" borderId="0" xfId="1" applyFont="1" applyAlignment="1" applyProtection="1">
      <alignment horizontal="left" wrapText="1"/>
      <protection locked="0"/>
    </xf>
    <xf numFmtId="0" fontId="79" fillId="0" borderId="0" xfId="1" applyFont="1" applyAlignment="1" applyProtection="1">
      <alignment wrapText="1"/>
      <protection locked="0"/>
    </xf>
    <xf numFmtId="0" fontId="55" fillId="0" borderId="0" xfId="0" applyFont="1" applyAlignment="1">
      <alignment wrapText="1"/>
    </xf>
    <xf numFmtId="0" fontId="60" fillId="0" borderId="0" xfId="1" applyFont="1" applyAlignment="1" applyProtection="1">
      <alignment horizontal="justify" wrapText="1"/>
      <protection locked="0"/>
    </xf>
    <xf numFmtId="0" fontId="56" fillId="0" borderId="0" xfId="0" applyFont="1" applyAlignment="1">
      <alignment horizontal="justify"/>
    </xf>
    <xf numFmtId="0" fontId="79" fillId="0" borderId="0" xfId="1" applyFont="1" applyAlignment="1" applyProtection="1">
      <alignment horizontal="center"/>
      <protection locked="0"/>
    </xf>
    <xf numFmtId="0" fontId="49" fillId="33" borderId="41" xfId="103" applyFont="1" applyFill="1" applyBorder="1" applyAlignment="1">
      <alignment vertical="top" wrapText="1"/>
    </xf>
    <xf numFmtId="0" fontId="49" fillId="33" borderId="32" xfId="103" applyFont="1" applyFill="1" applyBorder="1" applyAlignment="1">
      <alignment vertical="top" wrapText="1"/>
    </xf>
    <xf numFmtId="0" fontId="102" fillId="0" borderId="0" xfId="103" applyFont="1" applyAlignment="1">
      <alignment horizontal="left" wrapText="1"/>
    </xf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61" fillId="0" borderId="5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left" vertical="center"/>
    </xf>
    <xf numFmtId="0" fontId="54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70" fillId="0" borderId="35" xfId="0" applyFont="1" applyBorder="1" applyAlignment="1">
      <alignment horizontal="center" vertical="top" wrapText="1"/>
    </xf>
  </cellXfs>
  <cellStyles count="166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Euro" xfId="22" xr:uid="{00000000-0005-0000-0000-000012000000}"/>
    <cellStyle name="S0" xfId="65" xr:uid="{00000000-0005-0000-0000-000013000000}"/>
    <cellStyle name="S1" xfId="66" xr:uid="{00000000-0005-0000-0000-000014000000}"/>
    <cellStyle name="S10" xfId="67" xr:uid="{00000000-0005-0000-0000-000015000000}"/>
    <cellStyle name="S10 2" xfId="87" xr:uid="{00000000-0005-0000-0000-000016000000}"/>
    <cellStyle name="S10 3" xfId="148" xr:uid="{B8A02899-D4FF-41B2-A128-6CC20BE14A99}"/>
    <cellStyle name="S11" xfId="68" xr:uid="{00000000-0005-0000-0000-000017000000}"/>
    <cellStyle name="S11 2" xfId="88" xr:uid="{00000000-0005-0000-0000-000018000000}"/>
    <cellStyle name="S12" xfId="69" xr:uid="{00000000-0005-0000-0000-000019000000}"/>
    <cellStyle name="S13" xfId="78" xr:uid="{00000000-0005-0000-0000-00001A000000}"/>
    <cellStyle name="S14" xfId="79" xr:uid="{00000000-0005-0000-0000-00001B000000}"/>
    <cellStyle name="S14 2" xfId="89" xr:uid="{00000000-0005-0000-0000-00001C000000}"/>
    <cellStyle name="S15" xfId="80" xr:uid="{00000000-0005-0000-0000-00001D000000}"/>
    <cellStyle name="S16" xfId="81" xr:uid="{00000000-0005-0000-0000-00001E000000}"/>
    <cellStyle name="S2" xfId="70" xr:uid="{00000000-0005-0000-0000-00001F000000}"/>
    <cellStyle name="S3" xfId="71" xr:uid="{00000000-0005-0000-0000-000020000000}"/>
    <cellStyle name="S3 2" xfId="82" xr:uid="{00000000-0005-0000-0000-000021000000}"/>
    <cellStyle name="S4" xfId="72" xr:uid="{00000000-0005-0000-0000-000022000000}"/>
    <cellStyle name="S4 2" xfId="83" xr:uid="{00000000-0005-0000-0000-000023000000}"/>
    <cellStyle name="S4 3" xfId="90" xr:uid="{00000000-0005-0000-0000-000024000000}"/>
    <cellStyle name="S5" xfId="73" xr:uid="{00000000-0005-0000-0000-000025000000}"/>
    <cellStyle name="S5 2" xfId="84" xr:uid="{00000000-0005-0000-0000-000026000000}"/>
    <cellStyle name="S6" xfId="74" xr:uid="{00000000-0005-0000-0000-000027000000}"/>
    <cellStyle name="S6 2" xfId="85" xr:uid="{00000000-0005-0000-0000-000028000000}"/>
    <cellStyle name="S6 3" xfId="91" xr:uid="{00000000-0005-0000-0000-000029000000}"/>
    <cellStyle name="S7" xfId="75" xr:uid="{00000000-0005-0000-0000-00002A000000}"/>
    <cellStyle name="S8" xfId="76" xr:uid="{00000000-0005-0000-0000-00002B000000}"/>
    <cellStyle name="S8 2" xfId="86" xr:uid="{00000000-0005-0000-0000-00002C000000}"/>
    <cellStyle name="S8 3" xfId="92" xr:uid="{00000000-0005-0000-0000-00002D000000}"/>
    <cellStyle name="S9" xfId="77" xr:uid="{00000000-0005-0000-0000-00002E000000}"/>
    <cellStyle name="S9 2" xfId="93" xr:uid="{00000000-0005-0000-0000-00002F000000}"/>
    <cellStyle name="Акцент1 2" xfId="23" xr:uid="{00000000-0005-0000-0000-000030000000}"/>
    <cellStyle name="Акцент2 2" xfId="24" xr:uid="{00000000-0005-0000-0000-000031000000}"/>
    <cellStyle name="Акцент3 2" xfId="25" xr:uid="{00000000-0005-0000-0000-000032000000}"/>
    <cellStyle name="Акцент4 2" xfId="26" xr:uid="{00000000-0005-0000-0000-000033000000}"/>
    <cellStyle name="Акцент5 2" xfId="27" xr:uid="{00000000-0005-0000-0000-000034000000}"/>
    <cellStyle name="Акцент6 2" xfId="28" xr:uid="{00000000-0005-0000-0000-000035000000}"/>
    <cellStyle name="Ввод  2" xfId="29" xr:uid="{00000000-0005-0000-0000-000036000000}"/>
    <cellStyle name="Вывод 2" xfId="30" xr:uid="{00000000-0005-0000-0000-000037000000}"/>
    <cellStyle name="Вычисление 2" xfId="31" xr:uid="{00000000-0005-0000-0000-000038000000}"/>
    <cellStyle name="Гиперссылка" xfId="104" builtinId="8"/>
    <cellStyle name="Гиперссылка 2" xfId="32" xr:uid="{00000000-0005-0000-0000-00003A000000}"/>
    <cellStyle name="Заголовок 1 2" xfId="33" xr:uid="{00000000-0005-0000-0000-00003B000000}"/>
    <cellStyle name="Заголовок 2 2" xfId="34" xr:uid="{00000000-0005-0000-0000-00003C000000}"/>
    <cellStyle name="Заголовок 3 2" xfId="35" xr:uid="{00000000-0005-0000-0000-00003D000000}"/>
    <cellStyle name="Заголовок 4 2" xfId="36" xr:uid="{00000000-0005-0000-0000-00003E000000}"/>
    <cellStyle name="Итог 2" xfId="37" xr:uid="{00000000-0005-0000-0000-00003F000000}"/>
    <cellStyle name="Контрольная ячейка 2" xfId="38" xr:uid="{00000000-0005-0000-0000-000040000000}"/>
    <cellStyle name="Название 2" xfId="39" xr:uid="{00000000-0005-0000-0000-000041000000}"/>
    <cellStyle name="Нейтральный 2" xfId="40" xr:uid="{00000000-0005-0000-0000-000042000000}"/>
    <cellStyle name="Обычный" xfId="0" builtinId="0"/>
    <cellStyle name="Обычный 10" xfId="117" xr:uid="{00000000-0005-0000-0000-000044000000}"/>
    <cellStyle name="Обычный 11" xfId="119" xr:uid="{00000000-0005-0000-0000-000045000000}"/>
    <cellStyle name="Обычный 12" xfId="120" xr:uid="{C351DE13-2472-4E1C-89A1-742A50429875}"/>
    <cellStyle name="Обычный 13" xfId="128" xr:uid="{A52A9444-8D98-4B30-9019-14557F95248F}"/>
    <cellStyle name="Обычный 14" xfId="130" xr:uid="{E86AB523-2E6D-4167-BA83-2B539791F3E6}"/>
    <cellStyle name="Обычный 15" xfId="132" xr:uid="{D73F63CD-DFBC-4CC0-8B54-2F0F26A6DDBD}"/>
    <cellStyle name="Обычный 2" xfId="41" xr:uid="{00000000-0005-0000-0000-000046000000}"/>
    <cellStyle name="Обычный 2 2" xfId="42" xr:uid="{00000000-0005-0000-0000-000047000000}"/>
    <cellStyle name="Обычный 2 2 2" xfId="160" xr:uid="{365CE40A-0945-4FCF-A410-F4F14D836D78}"/>
    <cellStyle name="Обычный 2 2 3" xfId="155" xr:uid="{142E08E8-BF5B-4344-9293-476165D9BA17}"/>
    <cellStyle name="Обычный 2 3" xfId="43" xr:uid="{00000000-0005-0000-0000-000048000000}"/>
    <cellStyle name="Обычный 2 3 2" xfId="134" xr:uid="{B5097B4A-4B77-450B-81A8-97011724DD8D}"/>
    <cellStyle name="Обычный 2 3 3" xfId="157" xr:uid="{F5D00A0A-3398-48D0-AE00-08B6A6CB0117}"/>
    <cellStyle name="Обычный 2 4" xfId="44" xr:uid="{00000000-0005-0000-0000-000049000000}"/>
    <cellStyle name="Обычный 2 4 2" xfId="135" xr:uid="{2E2EFCD0-8EBF-4C0E-941E-F03FCD942986}"/>
    <cellStyle name="Обычный 2 5" xfId="150" xr:uid="{FF3984F3-7C8B-4C14-BF2C-7CECF624C60E}"/>
    <cellStyle name="Обычный 3" xfId="45" xr:uid="{00000000-0005-0000-0000-00004A000000}"/>
    <cellStyle name="Обычный 3 2" xfId="46" xr:uid="{00000000-0005-0000-0000-00004B000000}"/>
    <cellStyle name="Обычный 3 2 2" xfId="95" xr:uid="{00000000-0005-0000-0000-00004C000000}"/>
    <cellStyle name="Обычный 3 3" xfId="136" xr:uid="{70A19A29-F674-4DEC-B42F-25AF536CCEEE}"/>
    <cellStyle name="Обычный 3 4" xfId="151" xr:uid="{C8919D55-E817-48CD-9689-BA23E3E9599C}"/>
    <cellStyle name="Обычный 4" xfId="3" xr:uid="{00000000-0005-0000-0000-00004D000000}"/>
    <cellStyle name="Обычный 4 2" xfId="149" xr:uid="{58E36867-2026-471A-BAD0-7B106FDBAC72}"/>
    <cellStyle name="Обычный 5" xfId="96" xr:uid="{00000000-0005-0000-0000-00004E000000}"/>
    <cellStyle name="Обычный 5 2" xfId="110" xr:uid="{00000000-0005-0000-0000-00004F000000}"/>
    <cellStyle name="Обычный 6" xfId="97" xr:uid="{00000000-0005-0000-0000-000050000000}"/>
    <cellStyle name="Обычный 6 2" xfId="111" xr:uid="{00000000-0005-0000-0000-000051000000}"/>
    <cellStyle name="Обычный 7" xfId="99" xr:uid="{00000000-0005-0000-0000-000052000000}"/>
    <cellStyle name="Обычный 7 2" xfId="112" xr:uid="{00000000-0005-0000-0000-000053000000}"/>
    <cellStyle name="Обычный 8" xfId="105" xr:uid="{00000000-0005-0000-0000-000054000000}"/>
    <cellStyle name="Обычный 8 2" xfId="113" xr:uid="{00000000-0005-0000-0000-000055000000}"/>
    <cellStyle name="Обычный 9" xfId="107" xr:uid="{00000000-0005-0000-0000-000056000000}"/>
    <cellStyle name="Обычный_230 постановление" xfId="47" xr:uid="{00000000-0005-0000-0000-000057000000}"/>
    <cellStyle name="Обычный_I0000709" xfId="1" xr:uid="{00000000-0005-0000-0000-000059000000}"/>
    <cellStyle name="Обычный_Баланс UDC Astana" xfId="163" xr:uid="{A800BF42-CD30-4AA6-B1CB-E798C640A038}"/>
    <cellStyle name="Обычный_Лист1" xfId="102" xr:uid="{00000000-0005-0000-0000-00005C000000}"/>
    <cellStyle name="Обычный_ОДДС" xfId="161" xr:uid="{D262976D-FD82-43E8-B2ED-3AF3EA9CE349}"/>
    <cellStyle name="Обычный_ОДДС прям" xfId="162" xr:uid="{DEE2459C-C6A1-4B29-9452-EE441891627B}"/>
    <cellStyle name="Обычный_ОПУ" xfId="103" xr:uid="{00000000-0005-0000-0000-00005D000000}"/>
    <cellStyle name="Обычный_ОПУ UDC" xfId="165" xr:uid="{7AC129A7-1A2A-40C1-82F3-D9B4D3480631}"/>
    <cellStyle name="Обычный_ОПУ UDC Astana" xfId="164" xr:uid="{F0D44F99-292E-455B-9CD5-216915665EAE}"/>
    <cellStyle name="Обычный_Приложения к Правилам по ИК_рус" xfId="2" xr:uid="{00000000-0005-0000-0000-000060000000}"/>
    <cellStyle name="Плохой 2" xfId="48" xr:uid="{00000000-0005-0000-0000-000062000000}"/>
    <cellStyle name="Пояснение 2" xfId="49" xr:uid="{00000000-0005-0000-0000-000063000000}"/>
    <cellStyle name="Примечание 2" xfId="50" xr:uid="{00000000-0005-0000-0000-000064000000}"/>
    <cellStyle name="Примечание 3" xfId="137" xr:uid="{94978DD4-623F-46F0-A906-62C787A43165}"/>
    <cellStyle name="Процентный 2" xfId="51" xr:uid="{00000000-0005-0000-0000-000066000000}"/>
    <cellStyle name="Процентный 3" xfId="52" xr:uid="{00000000-0005-0000-0000-000067000000}"/>
    <cellStyle name="Процентный 3 2" xfId="138" xr:uid="{C7B4A67A-FCA0-4022-AD1C-CBF969D88B61}"/>
    <cellStyle name="Связанная ячейка 2" xfId="53" xr:uid="{00000000-0005-0000-0000-000068000000}"/>
    <cellStyle name="Стиль 1" xfId="54" xr:uid="{00000000-0005-0000-0000-000069000000}"/>
    <cellStyle name="Текст предупреждения 2" xfId="55" xr:uid="{00000000-0005-0000-0000-00006A000000}"/>
    <cellStyle name="Финансовый" xfId="101" builtinId="3"/>
    <cellStyle name="Финансовый 10" xfId="100" xr:uid="{00000000-0005-0000-0000-00006C000000}"/>
    <cellStyle name="Финансовый 10 2" xfId="114" xr:uid="{00000000-0005-0000-0000-00006D000000}"/>
    <cellStyle name="Финансовый 10 3" xfId="125" xr:uid="{36CEDCA0-E0E4-4BA4-80DC-638E75E913D7}"/>
    <cellStyle name="Финансовый 11" xfId="106" xr:uid="{00000000-0005-0000-0000-00006E000000}"/>
    <cellStyle name="Финансовый 12" xfId="109" xr:uid="{00000000-0005-0000-0000-00006F000000}"/>
    <cellStyle name="Финансовый 13" xfId="108" xr:uid="{00000000-0005-0000-0000-000070000000}"/>
    <cellStyle name="Финансовый 14" xfId="118" xr:uid="{00000000-0005-0000-0000-000071000000}"/>
    <cellStyle name="Финансовый 15" xfId="129" xr:uid="{EF62F6CC-612F-42D2-8F7C-3F9A35981CF7}"/>
    <cellStyle name="Финансовый 16" xfId="131" xr:uid="{DCD4B12D-C274-4D32-ACB7-B3531B48F4D3}"/>
    <cellStyle name="Финансовый 17" xfId="133" xr:uid="{52F7E6C8-9C04-4C8E-A0A6-3BDE676BDC50}"/>
    <cellStyle name="Финансовый 18" xfId="139" xr:uid="{ADACE2FD-4E69-4637-AB9D-9F346AD8E7A2}"/>
    <cellStyle name="Финансовый 2" xfId="56" xr:uid="{00000000-0005-0000-0000-000072000000}"/>
    <cellStyle name="Финансовый 2 2" xfId="57" xr:uid="{00000000-0005-0000-0000-000073000000}"/>
    <cellStyle name="Финансовый 2 2 2" xfId="140" xr:uid="{51ED9ED7-D3CB-4CE4-A3D2-18C130D8C4D9}"/>
    <cellStyle name="Финансовый 2 2 2 2" xfId="152" xr:uid="{DF910A77-8242-4F2A-B13D-10B022DD09C0}"/>
    <cellStyle name="Финансовый 2 2 3" xfId="158" xr:uid="{62678470-476E-4B94-B1BD-CDAB930D565E}"/>
    <cellStyle name="Финансовый 2 3" xfId="121" xr:uid="{EB6991D1-0964-4D4F-A6A3-6C8E5BBFCEB8}"/>
    <cellStyle name="Финансовый 2 3 2" xfId="141" xr:uid="{66A09B80-0BB3-4B28-B793-5A80F1A867C5}"/>
    <cellStyle name="Финансовый 2 4" xfId="153" xr:uid="{CED87AA7-6A61-4A50-AC9F-B16550FEC709}"/>
    <cellStyle name="Финансовый 3" xfId="58" xr:uid="{00000000-0005-0000-0000-000074000000}"/>
    <cellStyle name="Финансовый 3 2" xfId="59" xr:uid="{00000000-0005-0000-0000-000075000000}"/>
    <cellStyle name="Финансовый 3 2 2" xfId="123" xr:uid="{2D3ACD67-EF54-4448-9956-860A92546605}"/>
    <cellStyle name="Финансовый 3 2 2 2" xfId="142" xr:uid="{FB2D9A4C-A6E3-4B9F-B5FD-8EB42D168108}"/>
    <cellStyle name="Финансовый 3 2 3" xfId="159" xr:uid="{B7E0E757-52FF-45C3-A179-73BE46EBB168}"/>
    <cellStyle name="Финансовый 3 3" xfId="122" xr:uid="{4EEEF5C1-5490-4647-8558-232AC4A6B9B3}"/>
    <cellStyle name="Финансовый 3 3 2" xfId="143" xr:uid="{F3508E67-FE2E-4FB3-A827-7B4E01E0A7DD}"/>
    <cellStyle name="Финансовый 3 4" xfId="154" xr:uid="{6F1A5AE5-D607-4BCF-A960-C04D82B5E535}"/>
    <cellStyle name="Финансовый 4" xfId="60" xr:uid="{00000000-0005-0000-0000-000076000000}"/>
    <cellStyle name="Финансовый 4 2" xfId="124" xr:uid="{9ED6529B-D27B-4EA6-A2A1-07D5910838F4}"/>
    <cellStyle name="Финансовый 4 2 2" xfId="144" xr:uid="{5AA0B084-DBAA-491E-A800-DBC9AE0B82F8}"/>
    <cellStyle name="Финансовый 4 3" xfId="156" xr:uid="{460613B2-6AA4-4161-86C6-AB0F98258458}"/>
    <cellStyle name="Финансовый 5" xfId="61" xr:uid="{00000000-0005-0000-0000-000077000000}"/>
    <cellStyle name="Финансовый 5 2" xfId="145" xr:uid="{29927D0C-D718-474E-A947-4E424648A3B6}"/>
    <cellStyle name="Финансовый 6" xfId="62" xr:uid="{00000000-0005-0000-0000-000078000000}"/>
    <cellStyle name="Финансовый 6 2" xfId="146" xr:uid="{B69FF903-A650-4DDA-956C-699A6294C736}"/>
    <cellStyle name="Финансовый 7" xfId="63" xr:uid="{00000000-0005-0000-0000-000079000000}"/>
    <cellStyle name="Финансовый 8" xfId="94" xr:uid="{00000000-0005-0000-0000-00007A000000}"/>
    <cellStyle name="Финансовый 8 2" xfId="115" xr:uid="{00000000-0005-0000-0000-00007B000000}"/>
    <cellStyle name="Финансовый 8 3" xfId="126" xr:uid="{2FDACE5D-9197-426B-B811-649C4EEBC97C}"/>
    <cellStyle name="Финансовый 8 4" xfId="147" xr:uid="{0DD1136F-E4D9-4AD5-B5C3-7B63E8AD84B5}"/>
    <cellStyle name="Финансовый 9" xfId="98" xr:uid="{00000000-0005-0000-0000-00007C000000}"/>
    <cellStyle name="Финансовый 9 2" xfId="116" xr:uid="{00000000-0005-0000-0000-00007D000000}"/>
    <cellStyle name="Финансовый 9 3" xfId="127" xr:uid="{4455CD36-19A9-4348-AA82-543803F22B89}"/>
    <cellStyle name="Хороший 2" xfId="64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dcapital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udcapital.k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udcapital.k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udcapital.kz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2975-77AF-4D74-900C-F603E30DE15A}">
  <sheetPr>
    <pageSetUpPr fitToPage="1"/>
  </sheetPr>
  <dimension ref="A1:J130"/>
  <sheetViews>
    <sheetView topLeftCell="A85" zoomScale="90" zoomScaleNormal="90" zoomScaleSheetLayoutView="90" workbookViewId="0">
      <selection activeCell="D124" sqref="D124:D126"/>
    </sheetView>
  </sheetViews>
  <sheetFormatPr defaultRowHeight="15" outlineLevelCol="1" x14ac:dyDescent="0.3"/>
  <cols>
    <col min="1" max="1" width="85.140625" style="91" customWidth="1"/>
    <col min="2" max="2" width="14.28515625" style="91" customWidth="1"/>
    <col min="3" max="3" width="18.7109375" style="91" customWidth="1"/>
    <col min="4" max="4" width="19.5703125" style="91" customWidth="1"/>
    <col min="5" max="5" width="4.140625" style="91" customWidth="1"/>
    <col min="6" max="6" width="8.5703125" style="102" customWidth="1" outlineLevel="1"/>
    <col min="7" max="7" width="10.5703125" style="102" customWidth="1" outlineLevel="1"/>
    <col min="8" max="8" width="2.42578125" style="91" customWidth="1"/>
    <col min="9" max="9" width="2.140625" style="103" hidden="1" customWidth="1" outlineLevel="1"/>
    <col min="10" max="10" width="9.140625" style="91" collapsed="1"/>
    <col min="11" max="231" width="9.140625" style="91"/>
    <col min="232" max="232" width="59.85546875" style="91" customWidth="1"/>
    <col min="233" max="233" width="12.140625" style="91" customWidth="1"/>
    <col min="234" max="234" width="15.85546875" style="91" customWidth="1"/>
    <col min="235" max="235" width="17.7109375" style="91" customWidth="1"/>
    <col min="236" max="236" width="19" style="91" customWidth="1"/>
    <col min="237" max="237" width="13.5703125" style="91" customWidth="1"/>
    <col min="238" max="238" width="12" style="91" customWidth="1"/>
    <col min="239" max="487" width="9.140625" style="91"/>
    <col min="488" max="488" width="59.85546875" style="91" customWidth="1"/>
    <col min="489" max="489" width="12.140625" style="91" customWidth="1"/>
    <col min="490" max="490" width="15.85546875" style="91" customWidth="1"/>
    <col min="491" max="491" width="17.7109375" style="91" customWidth="1"/>
    <col min="492" max="492" width="19" style="91" customWidth="1"/>
    <col min="493" max="493" width="13.5703125" style="91" customWidth="1"/>
    <col min="494" max="494" width="12" style="91" customWidth="1"/>
    <col min="495" max="743" width="9.140625" style="91"/>
    <col min="744" max="744" width="59.85546875" style="91" customWidth="1"/>
    <col min="745" max="745" width="12.140625" style="91" customWidth="1"/>
    <col min="746" max="746" width="15.85546875" style="91" customWidth="1"/>
    <col min="747" max="747" width="17.7109375" style="91" customWidth="1"/>
    <col min="748" max="748" width="19" style="91" customWidth="1"/>
    <col min="749" max="749" width="13.5703125" style="91" customWidth="1"/>
    <col min="750" max="750" width="12" style="91" customWidth="1"/>
    <col min="751" max="999" width="9.140625" style="91"/>
    <col min="1000" max="1000" width="59.85546875" style="91" customWidth="1"/>
    <col min="1001" max="1001" width="12.140625" style="91" customWidth="1"/>
    <col min="1002" max="1002" width="15.85546875" style="91" customWidth="1"/>
    <col min="1003" max="1003" width="17.7109375" style="91" customWidth="1"/>
    <col min="1004" max="1004" width="19" style="91" customWidth="1"/>
    <col min="1005" max="1005" width="13.5703125" style="91" customWidth="1"/>
    <col min="1006" max="1006" width="12" style="91" customWidth="1"/>
    <col min="1007" max="1255" width="9.140625" style="91"/>
    <col min="1256" max="1256" width="59.85546875" style="91" customWidth="1"/>
    <col min="1257" max="1257" width="12.140625" style="91" customWidth="1"/>
    <col min="1258" max="1258" width="15.85546875" style="91" customWidth="1"/>
    <col min="1259" max="1259" width="17.7109375" style="91" customWidth="1"/>
    <col min="1260" max="1260" width="19" style="91" customWidth="1"/>
    <col min="1261" max="1261" width="13.5703125" style="91" customWidth="1"/>
    <col min="1262" max="1262" width="12" style="91" customWidth="1"/>
    <col min="1263" max="1511" width="9.140625" style="91"/>
    <col min="1512" max="1512" width="59.85546875" style="91" customWidth="1"/>
    <col min="1513" max="1513" width="12.140625" style="91" customWidth="1"/>
    <col min="1514" max="1514" width="15.85546875" style="91" customWidth="1"/>
    <col min="1515" max="1515" width="17.7109375" style="91" customWidth="1"/>
    <col min="1516" max="1516" width="19" style="91" customWidth="1"/>
    <col min="1517" max="1517" width="13.5703125" style="91" customWidth="1"/>
    <col min="1518" max="1518" width="12" style="91" customWidth="1"/>
    <col min="1519" max="1767" width="9.140625" style="91"/>
    <col min="1768" max="1768" width="59.85546875" style="91" customWidth="1"/>
    <col min="1769" max="1769" width="12.140625" style="91" customWidth="1"/>
    <col min="1770" max="1770" width="15.85546875" style="91" customWidth="1"/>
    <col min="1771" max="1771" width="17.7109375" style="91" customWidth="1"/>
    <col min="1772" max="1772" width="19" style="91" customWidth="1"/>
    <col min="1773" max="1773" width="13.5703125" style="91" customWidth="1"/>
    <col min="1774" max="1774" width="12" style="91" customWidth="1"/>
    <col min="1775" max="2023" width="9.140625" style="91"/>
    <col min="2024" max="2024" width="59.85546875" style="91" customWidth="1"/>
    <col min="2025" max="2025" width="12.140625" style="91" customWidth="1"/>
    <col min="2026" max="2026" width="15.85546875" style="91" customWidth="1"/>
    <col min="2027" max="2027" width="17.7109375" style="91" customWidth="1"/>
    <col min="2028" max="2028" width="19" style="91" customWidth="1"/>
    <col min="2029" max="2029" width="13.5703125" style="91" customWidth="1"/>
    <col min="2030" max="2030" width="12" style="91" customWidth="1"/>
    <col min="2031" max="2279" width="9.140625" style="91"/>
    <col min="2280" max="2280" width="59.85546875" style="91" customWidth="1"/>
    <col min="2281" max="2281" width="12.140625" style="91" customWidth="1"/>
    <col min="2282" max="2282" width="15.85546875" style="91" customWidth="1"/>
    <col min="2283" max="2283" width="17.7109375" style="91" customWidth="1"/>
    <col min="2284" max="2284" width="19" style="91" customWidth="1"/>
    <col min="2285" max="2285" width="13.5703125" style="91" customWidth="1"/>
    <col min="2286" max="2286" width="12" style="91" customWidth="1"/>
    <col min="2287" max="2535" width="9.140625" style="91"/>
    <col min="2536" max="2536" width="59.85546875" style="91" customWidth="1"/>
    <col min="2537" max="2537" width="12.140625" style="91" customWidth="1"/>
    <col min="2538" max="2538" width="15.85546875" style="91" customWidth="1"/>
    <col min="2539" max="2539" width="17.7109375" style="91" customWidth="1"/>
    <col min="2540" max="2540" width="19" style="91" customWidth="1"/>
    <col min="2541" max="2541" width="13.5703125" style="91" customWidth="1"/>
    <col min="2542" max="2542" width="12" style="91" customWidth="1"/>
    <col min="2543" max="2791" width="9.140625" style="91"/>
    <col min="2792" max="2792" width="59.85546875" style="91" customWidth="1"/>
    <col min="2793" max="2793" width="12.140625" style="91" customWidth="1"/>
    <col min="2794" max="2794" width="15.85546875" style="91" customWidth="1"/>
    <col min="2795" max="2795" width="17.7109375" style="91" customWidth="1"/>
    <col min="2796" max="2796" width="19" style="91" customWidth="1"/>
    <col min="2797" max="2797" width="13.5703125" style="91" customWidth="1"/>
    <col min="2798" max="2798" width="12" style="91" customWidth="1"/>
    <col min="2799" max="3047" width="9.140625" style="91"/>
    <col min="3048" max="3048" width="59.85546875" style="91" customWidth="1"/>
    <col min="3049" max="3049" width="12.140625" style="91" customWidth="1"/>
    <col min="3050" max="3050" width="15.85546875" style="91" customWidth="1"/>
    <col min="3051" max="3051" width="17.7109375" style="91" customWidth="1"/>
    <col min="3052" max="3052" width="19" style="91" customWidth="1"/>
    <col min="3053" max="3053" width="13.5703125" style="91" customWidth="1"/>
    <col min="3054" max="3054" width="12" style="91" customWidth="1"/>
    <col min="3055" max="3303" width="9.140625" style="91"/>
    <col min="3304" max="3304" width="59.85546875" style="91" customWidth="1"/>
    <col min="3305" max="3305" width="12.140625" style="91" customWidth="1"/>
    <col min="3306" max="3306" width="15.85546875" style="91" customWidth="1"/>
    <col min="3307" max="3307" width="17.7109375" style="91" customWidth="1"/>
    <col min="3308" max="3308" width="19" style="91" customWidth="1"/>
    <col min="3309" max="3309" width="13.5703125" style="91" customWidth="1"/>
    <col min="3310" max="3310" width="12" style="91" customWidth="1"/>
    <col min="3311" max="3559" width="9.140625" style="91"/>
    <col min="3560" max="3560" width="59.85546875" style="91" customWidth="1"/>
    <col min="3561" max="3561" width="12.140625" style="91" customWidth="1"/>
    <col min="3562" max="3562" width="15.85546875" style="91" customWidth="1"/>
    <col min="3563" max="3563" width="17.7109375" style="91" customWidth="1"/>
    <col min="3564" max="3564" width="19" style="91" customWidth="1"/>
    <col min="3565" max="3565" width="13.5703125" style="91" customWidth="1"/>
    <col min="3566" max="3566" width="12" style="91" customWidth="1"/>
    <col min="3567" max="3815" width="9.140625" style="91"/>
    <col min="3816" max="3816" width="59.85546875" style="91" customWidth="1"/>
    <col min="3817" max="3817" width="12.140625" style="91" customWidth="1"/>
    <col min="3818" max="3818" width="15.85546875" style="91" customWidth="1"/>
    <col min="3819" max="3819" width="17.7109375" style="91" customWidth="1"/>
    <col min="3820" max="3820" width="19" style="91" customWidth="1"/>
    <col min="3821" max="3821" width="13.5703125" style="91" customWidth="1"/>
    <col min="3822" max="3822" width="12" style="91" customWidth="1"/>
    <col min="3823" max="4071" width="9.140625" style="91"/>
    <col min="4072" max="4072" width="59.85546875" style="91" customWidth="1"/>
    <col min="4073" max="4073" width="12.140625" style="91" customWidth="1"/>
    <col min="4074" max="4074" width="15.85546875" style="91" customWidth="1"/>
    <col min="4075" max="4075" width="17.7109375" style="91" customWidth="1"/>
    <col min="4076" max="4076" width="19" style="91" customWidth="1"/>
    <col min="4077" max="4077" width="13.5703125" style="91" customWidth="1"/>
    <col min="4078" max="4078" width="12" style="91" customWidth="1"/>
    <col min="4079" max="4327" width="9.140625" style="91"/>
    <col min="4328" max="4328" width="59.85546875" style="91" customWidth="1"/>
    <col min="4329" max="4329" width="12.140625" style="91" customWidth="1"/>
    <col min="4330" max="4330" width="15.85546875" style="91" customWidth="1"/>
    <col min="4331" max="4331" width="17.7109375" style="91" customWidth="1"/>
    <col min="4332" max="4332" width="19" style="91" customWidth="1"/>
    <col min="4333" max="4333" width="13.5703125" style="91" customWidth="1"/>
    <col min="4334" max="4334" width="12" style="91" customWidth="1"/>
    <col min="4335" max="4583" width="9.140625" style="91"/>
    <col min="4584" max="4584" width="59.85546875" style="91" customWidth="1"/>
    <col min="4585" max="4585" width="12.140625" style="91" customWidth="1"/>
    <col min="4586" max="4586" width="15.85546875" style="91" customWidth="1"/>
    <col min="4587" max="4587" width="17.7109375" style="91" customWidth="1"/>
    <col min="4588" max="4588" width="19" style="91" customWidth="1"/>
    <col min="4589" max="4589" width="13.5703125" style="91" customWidth="1"/>
    <col min="4590" max="4590" width="12" style="91" customWidth="1"/>
    <col min="4591" max="4839" width="9.140625" style="91"/>
    <col min="4840" max="4840" width="59.85546875" style="91" customWidth="1"/>
    <col min="4841" max="4841" width="12.140625" style="91" customWidth="1"/>
    <col min="4842" max="4842" width="15.85546875" style="91" customWidth="1"/>
    <col min="4843" max="4843" width="17.7109375" style="91" customWidth="1"/>
    <col min="4844" max="4844" width="19" style="91" customWidth="1"/>
    <col min="4845" max="4845" width="13.5703125" style="91" customWidth="1"/>
    <col min="4846" max="4846" width="12" style="91" customWidth="1"/>
    <col min="4847" max="5095" width="9.140625" style="91"/>
    <col min="5096" max="5096" width="59.85546875" style="91" customWidth="1"/>
    <col min="5097" max="5097" width="12.140625" style="91" customWidth="1"/>
    <col min="5098" max="5098" width="15.85546875" style="91" customWidth="1"/>
    <col min="5099" max="5099" width="17.7109375" style="91" customWidth="1"/>
    <col min="5100" max="5100" width="19" style="91" customWidth="1"/>
    <col min="5101" max="5101" width="13.5703125" style="91" customWidth="1"/>
    <col min="5102" max="5102" width="12" style="91" customWidth="1"/>
    <col min="5103" max="5351" width="9.140625" style="91"/>
    <col min="5352" max="5352" width="59.85546875" style="91" customWidth="1"/>
    <col min="5353" max="5353" width="12.140625" style="91" customWidth="1"/>
    <col min="5354" max="5354" width="15.85546875" style="91" customWidth="1"/>
    <col min="5355" max="5355" width="17.7109375" style="91" customWidth="1"/>
    <col min="5356" max="5356" width="19" style="91" customWidth="1"/>
    <col min="5357" max="5357" width="13.5703125" style="91" customWidth="1"/>
    <col min="5358" max="5358" width="12" style="91" customWidth="1"/>
    <col min="5359" max="5607" width="9.140625" style="91"/>
    <col min="5608" max="5608" width="59.85546875" style="91" customWidth="1"/>
    <col min="5609" max="5609" width="12.140625" style="91" customWidth="1"/>
    <col min="5610" max="5610" width="15.85546875" style="91" customWidth="1"/>
    <col min="5611" max="5611" width="17.7109375" style="91" customWidth="1"/>
    <col min="5612" max="5612" width="19" style="91" customWidth="1"/>
    <col min="5613" max="5613" width="13.5703125" style="91" customWidth="1"/>
    <col min="5614" max="5614" width="12" style="91" customWidth="1"/>
    <col min="5615" max="5863" width="9.140625" style="91"/>
    <col min="5864" max="5864" width="59.85546875" style="91" customWidth="1"/>
    <col min="5865" max="5865" width="12.140625" style="91" customWidth="1"/>
    <col min="5866" max="5866" width="15.85546875" style="91" customWidth="1"/>
    <col min="5867" max="5867" width="17.7109375" style="91" customWidth="1"/>
    <col min="5868" max="5868" width="19" style="91" customWidth="1"/>
    <col min="5869" max="5869" width="13.5703125" style="91" customWidth="1"/>
    <col min="5870" max="5870" width="12" style="91" customWidth="1"/>
    <col min="5871" max="6119" width="9.140625" style="91"/>
    <col min="6120" max="6120" width="59.85546875" style="91" customWidth="1"/>
    <col min="6121" max="6121" width="12.140625" style="91" customWidth="1"/>
    <col min="6122" max="6122" width="15.85546875" style="91" customWidth="1"/>
    <col min="6123" max="6123" width="17.7109375" style="91" customWidth="1"/>
    <col min="6124" max="6124" width="19" style="91" customWidth="1"/>
    <col min="6125" max="6125" width="13.5703125" style="91" customWidth="1"/>
    <col min="6126" max="6126" width="12" style="91" customWidth="1"/>
    <col min="6127" max="6375" width="9.140625" style="91"/>
    <col min="6376" max="6376" width="59.85546875" style="91" customWidth="1"/>
    <col min="6377" max="6377" width="12.140625" style="91" customWidth="1"/>
    <col min="6378" max="6378" width="15.85546875" style="91" customWidth="1"/>
    <col min="6379" max="6379" width="17.7109375" style="91" customWidth="1"/>
    <col min="6380" max="6380" width="19" style="91" customWidth="1"/>
    <col min="6381" max="6381" width="13.5703125" style="91" customWidth="1"/>
    <col min="6382" max="6382" width="12" style="91" customWidth="1"/>
    <col min="6383" max="6631" width="9.140625" style="91"/>
    <col min="6632" max="6632" width="59.85546875" style="91" customWidth="1"/>
    <col min="6633" max="6633" width="12.140625" style="91" customWidth="1"/>
    <col min="6634" max="6634" width="15.85546875" style="91" customWidth="1"/>
    <col min="6635" max="6635" width="17.7109375" style="91" customWidth="1"/>
    <col min="6636" max="6636" width="19" style="91" customWidth="1"/>
    <col min="6637" max="6637" width="13.5703125" style="91" customWidth="1"/>
    <col min="6638" max="6638" width="12" style="91" customWidth="1"/>
    <col min="6639" max="6887" width="9.140625" style="91"/>
    <col min="6888" max="6888" width="59.85546875" style="91" customWidth="1"/>
    <col min="6889" max="6889" width="12.140625" style="91" customWidth="1"/>
    <col min="6890" max="6890" width="15.85546875" style="91" customWidth="1"/>
    <col min="6891" max="6891" width="17.7109375" style="91" customWidth="1"/>
    <col min="6892" max="6892" width="19" style="91" customWidth="1"/>
    <col min="6893" max="6893" width="13.5703125" style="91" customWidth="1"/>
    <col min="6894" max="6894" width="12" style="91" customWidth="1"/>
    <col min="6895" max="7143" width="9.140625" style="91"/>
    <col min="7144" max="7144" width="59.85546875" style="91" customWidth="1"/>
    <col min="7145" max="7145" width="12.140625" style="91" customWidth="1"/>
    <col min="7146" max="7146" width="15.85546875" style="91" customWidth="1"/>
    <col min="7147" max="7147" width="17.7109375" style="91" customWidth="1"/>
    <col min="7148" max="7148" width="19" style="91" customWidth="1"/>
    <col min="7149" max="7149" width="13.5703125" style="91" customWidth="1"/>
    <col min="7150" max="7150" width="12" style="91" customWidth="1"/>
    <col min="7151" max="7399" width="9.140625" style="91"/>
    <col min="7400" max="7400" width="59.85546875" style="91" customWidth="1"/>
    <col min="7401" max="7401" width="12.140625" style="91" customWidth="1"/>
    <col min="7402" max="7402" width="15.85546875" style="91" customWidth="1"/>
    <col min="7403" max="7403" width="17.7109375" style="91" customWidth="1"/>
    <col min="7404" max="7404" width="19" style="91" customWidth="1"/>
    <col min="7405" max="7405" width="13.5703125" style="91" customWidth="1"/>
    <col min="7406" max="7406" width="12" style="91" customWidth="1"/>
    <col min="7407" max="7655" width="9.140625" style="91"/>
    <col min="7656" max="7656" width="59.85546875" style="91" customWidth="1"/>
    <col min="7657" max="7657" width="12.140625" style="91" customWidth="1"/>
    <col min="7658" max="7658" width="15.85546875" style="91" customWidth="1"/>
    <col min="7659" max="7659" width="17.7109375" style="91" customWidth="1"/>
    <col min="7660" max="7660" width="19" style="91" customWidth="1"/>
    <col min="7661" max="7661" width="13.5703125" style="91" customWidth="1"/>
    <col min="7662" max="7662" width="12" style="91" customWidth="1"/>
    <col min="7663" max="7911" width="9.140625" style="91"/>
    <col min="7912" max="7912" width="59.85546875" style="91" customWidth="1"/>
    <col min="7913" max="7913" width="12.140625" style="91" customWidth="1"/>
    <col min="7914" max="7914" width="15.85546875" style="91" customWidth="1"/>
    <col min="7915" max="7915" width="17.7109375" style="91" customWidth="1"/>
    <col min="7916" max="7916" width="19" style="91" customWidth="1"/>
    <col min="7917" max="7917" width="13.5703125" style="91" customWidth="1"/>
    <col min="7918" max="7918" width="12" style="91" customWidth="1"/>
    <col min="7919" max="8167" width="9.140625" style="91"/>
    <col min="8168" max="8168" width="59.85546875" style="91" customWidth="1"/>
    <col min="8169" max="8169" width="12.140625" style="91" customWidth="1"/>
    <col min="8170" max="8170" width="15.85546875" style="91" customWidth="1"/>
    <col min="8171" max="8171" width="17.7109375" style="91" customWidth="1"/>
    <col min="8172" max="8172" width="19" style="91" customWidth="1"/>
    <col min="8173" max="8173" width="13.5703125" style="91" customWidth="1"/>
    <col min="8174" max="8174" width="12" style="91" customWidth="1"/>
    <col min="8175" max="8423" width="9.140625" style="91"/>
    <col min="8424" max="8424" width="59.85546875" style="91" customWidth="1"/>
    <col min="8425" max="8425" width="12.140625" style="91" customWidth="1"/>
    <col min="8426" max="8426" width="15.85546875" style="91" customWidth="1"/>
    <col min="8427" max="8427" width="17.7109375" style="91" customWidth="1"/>
    <col min="8428" max="8428" width="19" style="91" customWidth="1"/>
    <col min="8429" max="8429" width="13.5703125" style="91" customWidth="1"/>
    <col min="8430" max="8430" width="12" style="91" customWidth="1"/>
    <col min="8431" max="8679" width="9.140625" style="91"/>
    <col min="8680" max="8680" width="59.85546875" style="91" customWidth="1"/>
    <col min="8681" max="8681" width="12.140625" style="91" customWidth="1"/>
    <col min="8682" max="8682" width="15.85546875" style="91" customWidth="1"/>
    <col min="8683" max="8683" width="17.7109375" style="91" customWidth="1"/>
    <col min="8684" max="8684" width="19" style="91" customWidth="1"/>
    <col min="8685" max="8685" width="13.5703125" style="91" customWidth="1"/>
    <col min="8686" max="8686" width="12" style="91" customWidth="1"/>
    <col min="8687" max="8935" width="9.140625" style="91"/>
    <col min="8936" max="8936" width="59.85546875" style="91" customWidth="1"/>
    <col min="8937" max="8937" width="12.140625" style="91" customWidth="1"/>
    <col min="8938" max="8938" width="15.85546875" style="91" customWidth="1"/>
    <col min="8939" max="8939" width="17.7109375" style="91" customWidth="1"/>
    <col min="8940" max="8940" width="19" style="91" customWidth="1"/>
    <col min="8941" max="8941" width="13.5703125" style="91" customWidth="1"/>
    <col min="8942" max="8942" width="12" style="91" customWidth="1"/>
    <col min="8943" max="9191" width="9.140625" style="91"/>
    <col min="9192" max="9192" width="59.85546875" style="91" customWidth="1"/>
    <col min="9193" max="9193" width="12.140625" style="91" customWidth="1"/>
    <col min="9194" max="9194" width="15.85546875" style="91" customWidth="1"/>
    <col min="9195" max="9195" width="17.7109375" style="91" customWidth="1"/>
    <col min="9196" max="9196" width="19" style="91" customWidth="1"/>
    <col min="9197" max="9197" width="13.5703125" style="91" customWidth="1"/>
    <col min="9198" max="9198" width="12" style="91" customWidth="1"/>
    <col min="9199" max="9447" width="9.140625" style="91"/>
    <col min="9448" max="9448" width="59.85546875" style="91" customWidth="1"/>
    <col min="9449" max="9449" width="12.140625" style="91" customWidth="1"/>
    <col min="9450" max="9450" width="15.85546875" style="91" customWidth="1"/>
    <col min="9451" max="9451" width="17.7109375" style="91" customWidth="1"/>
    <col min="9452" max="9452" width="19" style="91" customWidth="1"/>
    <col min="9453" max="9453" width="13.5703125" style="91" customWidth="1"/>
    <col min="9454" max="9454" width="12" style="91" customWidth="1"/>
    <col min="9455" max="9703" width="9.140625" style="91"/>
    <col min="9704" max="9704" width="59.85546875" style="91" customWidth="1"/>
    <col min="9705" max="9705" width="12.140625" style="91" customWidth="1"/>
    <col min="9706" max="9706" width="15.85546875" style="91" customWidth="1"/>
    <col min="9707" max="9707" width="17.7109375" style="91" customWidth="1"/>
    <col min="9708" max="9708" width="19" style="91" customWidth="1"/>
    <col min="9709" max="9709" width="13.5703125" style="91" customWidth="1"/>
    <col min="9710" max="9710" width="12" style="91" customWidth="1"/>
    <col min="9711" max="9959" width="9.140625" style="91"/>
    <col min="9960" max="9960" width="59.85546875" style="91" customWidth="1"/>
    <col min="9961" max="9961" width="12.140625" style="91" customWidth="1"/>
    <col min="9962" max="9962" width="15.85546875" style="91" customWidth="1"/>
    <col min="9963" max="9963" width="17.7109375" style="91" customWidth="1"/>
    <col min="9964" max="9964" width="19" style="91" customWidth="1"/>
    <col min="9965" max="9965" width="13.5703125" style="91" customWidth="1"/>
    <col min="9966" max="9966" width="12" style="91" customWidth="1"/>
    <col min="9967" max="10215" width="9.140625" style="91"/>
    <col min="10216" max="10216" width="59.85546875" style="91" customWidth="1"/>
    <col min="10217" max="10217" width="12.140625" style="91" customWidth="1"/>
    <col min="10218" max="10218" width="15.85546875" style="91" customWidth="1"/>
    <col min="10219" max="10219" width="17.7109375" style="91" customWidth="1"/>
    <col min="10220" max="10220" width="19" style="91" customWidth="1"/>
    <col min="10221" max="10221" width="13.5703125" style="91" customWidth="1"/>
    <col min="10222" max="10222" width="12" style="91" customWidth="1"/>
    <col min="10223" max="10471" width="9.140625" style="91"/>
    <col min="10472" max="10472" width="59.85546875" style="91" customWidth="1"/>
    <col min="10473" max="10473" width="12.140625" style="91" customWidth="1"/>
    <col min="10474" max="10474" width="15.85546875" style="91" customWidth="1"/>
    <col min="10475" max="10475" width="17.7109375" style="91" customWidth="1"/>
    <col min="10476" max="10476" width="19" style="91" customWidth="1"/>
    <col min="10477" max="10477" width="13.5703125" style="91" customWidth="1"/>
    <col min="10478" max="10478" width="12" style="91" customWidth="1"/>
    <col min="10479" max="10727" width="9.140625" style="91"/>
    <col min="10728" max="10728" width="59.85546875" style="91" customWidth="1"/>
    <col min="10729" max="10729" width="12.140625" style="91" customWidth="1"/>
    <col min="10730" max="10730" width="15.85546875" style="91" customWidth="1"/>
    <col min="10731" max="10731" width="17.7109375" style="91" customWidth="1"/>
    <col min="10732" max="10732" width="19" style="91" customWidth="1"/>
    <col min="10733" max="10733" width="13.5703125" style="91" customWidth="1"/>
    <col min="10734" max="10734" width="12" style="91" customWidth="1"/>
    <col min="10735" max="10983" width="9.140625" style="91"/>
    <col min="10984" max="10984" width="59.85546875" style="91" customWidth="1"/>
    <col min="10985" max="10985" width="12.140625" style="91" customWidth="1"/>
    <col min="10986" max="10986" width="15.85546875" style="91" customWidth="1"/>
    <col min="10987" max="10987" width="17.7109375" style="91" customWidth="1"/>
    <col min="10988" max="10988" width="19" style="91" customWidth="1"/>
    <col min="10989" max="10989" width="13.5703125" style="91" customWidth="1"/>
    <col min="10990" max="10990" width="12" style="91" customWidth="1"/>
    <col min="10991" max="11239" width="9.140625" style="91"/>
    <col min="11240" max="11240" width="59.85546875" style="91" customWidth="1"/>
    <col min="11241" max="11241" width="12.140625" style="91" customWidth="1"/>
    <col min="11242" max="11242" width="15.85546875" style="91" customWidth="1"/>
    <col min="11243" max="11243" width="17.7109375" style="91" customWidth="1"/>
    <col min="11244" max="11244" width="19" style="91" customWidth="1"/>
    <col min="11245" max="11245" width="13.5703125" style="91" customWidth="1"/>
    <col min="11246" max="11246" width="12" style="91" customWidth="1"/>
    <col min="11247" max="11495" width="9.140625" style="91"/>
    <col min="11496" max="11496" width="59.85546875" style="91" customWidth="1"/>
    <col min="11497" max="11497" width="12.140625" style="91" customWidth="1"/>
    <col min="11498" max="11498" width="15.85546875" style="91" customWidth="1"/>
    <col min="11499" max="11499" width="17.7109375" style="91" customWidth="1"/>
    <col min="11500" max="11500" width="19" style="91" customWidth="1"/>
    <col min="11501" max="11501" width="13.5703125" style="91" customWidth="1"/>
    <col min="11502" max="11502" width="12" style="91" customWidth="1"/>
    <col min="11503" max="11751" width="9.140625" style="91"/>
    <col min="11752" max="11752" width="59.85546875" style="91" customWidth="1"/>
    <col min="11753" max="11753" width="12.140625" style="91" customWidth="1"/>
    <col min="11754" max="11754" width="15.85546875" style="91" customWidth="1"/>
    <col min="11755" max="11755" width="17.7109375" style="91" customWidth="1"/>
    <col min="11756" max="11756" width="19" style="91" customWidth="1"/>
    <col min="11757" max="11757" width="13.5703125" style="91" customWidth="1"/>
    <col min="11758" max="11758" width="12" style="91" customWidth="1"/>
    <col min="11759" max="12007" width="9.140625" style="91"/>
    <col min="12008" max="12008" width="59.85546875" style="91" customWidth="1"/>
    <col min="12009" max="12009" width="12.140625" style="91" customWidth="1"/>
    <col min="12010" max="12010" width="15.85546875" style="91" customWidth="1"/>
    <col min="12011" max="12011" width="17.7109375" style="91" customWidth="1"/>
    <col min="12012" max="12012" width="19" style="91" customWidth="1"/>
    <col min="12013" max="12013" width="13.5703125" style="91" customWidth="1"/>
    <col min="12014" max="12014" width="12" style="91" customWidth="1"/>
    <col min="12015" max="12263" width="9.140625" style="91"/>
    <col min="12264" max="12264" width="59.85546875" style="91" customWidth="1"/>
    <col min="12265" max="12265" width="12.140625" style="91" customWidth="1"/>
    <col min="12266" max="12266" width="15.85546875" style="91" customWidth="1"/>
    <col min="12267" max="12267" width="17.7109375" style="91" customWidth="1"/>
    <col min="12268" max="12268" width="19" style="91" customWidth="1"/>
    <col min="12269" max="12269" width="13.5703125" style="91" customWidth="1"/>
    <col min="12270" max="12270" width="12" style="91" customWidth="1"/>
    <col min="12271" max="12519" width="9.140625" style="91"/>
    <col min="12520" max="12520" width="59.85546875" style="91" customWidth="1"/>
    <col min="12521" max="12521" width="12.140625" style="91" customWidth="1"/>
    <col min="12522" max="12522" width="15.85546875" style="91" customWidth="1"/>
    <col min="12523" max="12523" width="17.7109375" style="91" customWidth="1"/>
    <col min="12524" max="12524" width="19" style="91" customWidth="1"/>
    <col min="12525" max="12525" width="13.5703125" style="91" customWidth="1"/>
    <col min="12526" max="12526" width="12" style="91" customWidth="1"/>
    <col min="12527" max="12775" width="9.140625" style="91"/>
    <col min="12776" max="12776" width="59.85546875" style="91" customWidth="1"/>
    <col min="12777" max="12777" width="12.140625" style="91" customWidth="1"/>
    <col min="12778" max="12778" width="15.85546875" style="91" customWidth="1"/>
    <col min="12779" max="12779" width="17.7109375" style="91" customWidth="1"/>
    <col min="12780" max="12780" width="19" style="91" customWidth="1"/>
    <col min="12781" max="12781" width="13.5703125" style="91" customWidth="1"/>
    <col min="12782" max="12782" width="12" style="91" customWidth="1"/>
    <col min="12783" max="13031" width="9.140625" style="91"/>
    <col min="13032" max="13032" width="59.85546875" style="91" customWidth="1"/>
    <col min="13033" max="13033" width="12.140625" style="91" customWidth="1"/>
    <col min="13034" max="13034" width="15.85546875" style="91" customWidth="1"/>
    <col min="13035" max="13035" width="17.7109375" style="91" customWidth="1"/>
    <col min="13036" max="13036" width="19" style="91" customWidth="1"/>
    <col min="13037" max="13037" width="13.5703125" style="91" customWidth="1"/>
    <col min="13038" max="13038" width="12" style="91" customWidth="1"/>
    <col min="13039" max="13287" width="9.140625" style="91"/>
    <col min="13288" max="13288" width="59.85546875" style="91" customWidth="1"/>
    <col min="13289" max="13289" width="12.140625" style="91" customWidth="1"/>
    <col min="13290" max="13290" width="15.85546875" style="91" customWidth="1"/>
    <col min="13291" max="13291" width="17.7109375" style="91" customWidth="1"/>
    <col min="13292" max="13292" width="19" style="91" customWidth="1"/>
    <col min="13293" max="13293" width="13.5703125" style="91" customWidth="1"/>
    <col min="13294" max="13294" width="12" style="91" customWidth="1"/>
    <col min="13295" max="13543" width="9.140625" style="91"/>
    <col min="13544" max="13544" width="59.85546875" style="91" customWidth="1"/>
    <col min="13545" max="13545" width="12.140625" style="91" customWidth="1"/>
    <col min="13546" max="13546" width="15.85546875" style="91" customWidth="1"/>
    <col min="13547" max="13547" width="17.7109375" style="91" customWidth="1"/>
    <col min="13548" max="13548" width="19" style="91" customWidth="1"/>
    <col min="13549" max="13549" width="13.5703125" style="91" customWidth="1"/>
    <col min="13550" max="13550" width="12" style="91" customWidth="1"/>
    <col min="13551" max="13799" width="9.140625" style="91"/>
    <col min="13800" max="13800" width="59.85546875" style="91" customWidth="1"/>
    <col min="13801" max="13801" width="12.140625" style="91" customWidth="1"/>
    <col min="13802" max="13802" width="15.85546875" style="91" customWidth="1"/>
    <col min="13803" max="13803" width="17.7109375" style="91" customWidth="1"/>
    <col min="13804" max="13804" width="19" style="91" customWidth="1"/>
    <col min="13805" max="13805" width="13.5703125" style="91" customWidth="1"/>
    <col min="13806" max="13806" width="12" style="91" customWidth="1"/>
    <col min="13807" max="14055" width="9.140625" style="91"/>
    <col min="14056" max="14056" width="59.85546875" style="91" customWidth="1"/>
    <col min="14057" max="14057" width="12.140625" style="91" customWidth="1"/>
    <col min="14058" max="14058" width="15.85546875" style="91" customWidth="1"/>
    <col min="14059" max="14059" width="17.7109375" style="91" customWidth="1"/>
    <col min="14060" max="14060" width="19" style="91" customWidth="1"/>
    <col min="14061" max="14061" width="13.5703125" style="91" customWidth="1"/>
    <col min="14062" max="14062" width="12" style="91" customWidth="1"/>
    <col min="14063" max="14311" width="9.140625" style="91"/>
    <col min="14312" max="14312" width="59.85546875" style="91" customWidth="1"/>
    <col min="14313" max="14313" width="12.140625" style="91" customWidth="1"/>
    <col min="14314" max="14314" width="15.85546875" style="91" customWidth="1"/>
    <col min="14315" max="14315" width="17.7109375" style="91" customWidth="1"/>
    <col min="14316" max="14316" width="19" style="91" customWidth="1"/>
    <col min="14317" max="14317" width="13.5703125" style="91" customWidth="1"/>
    <col min="14318" max="14318" width="12" style="91" customWidth="1"/>
    <col min="14319" max="14567" width="9.140625" style="91"/>
    <col min="14568" max="14568" width="59.85546875" style="91" customWidth="1"/>
    <col min="14569" max="14569" width="12.140625" style="91" customWidth="1"/>
    <col min="14570" max="14570" width="15.85546875" style="91" customWidth="1"/>
    <col min="14571" max="14571" width="17.7109375" style="91" customWidth="1"/>
    <col min="14572" max="14572" width="19" style="91" customWidth="1"/>
    <col min="14573" max="14573" width="13.5703125" style="91" customWidth="1"/>
    <col min="14574" max="14574" width="12" style="91" customWidth="1"/>
    <col min="14575" max="14823" width="9.140625" style="91"/>
    <col min="14824" max="14824" width="59.85546875" style="91" customWidth="1"/>
    <col min="14825" max="14825" width="12.140625" style="91" customWidth="1"/>
    <col min="14826" max="14826" width="15.85546875" style="91" customWidth="1"/>
    <col min="14827" max="14827" width="17.7109375" style="91" customWidth="1"/>
    <col min="14828" max="14828" width="19" style="91" customWidth="1"/>
    <col min="14829" max="14829" width="13.5703125" style="91" customWidth="1"/>
    <col min="14830" max="14830" width="12" style="91" customWidth="1"/>
    <col min="14831" max="15079" width="9.140625" style="91"/>
    <col min="15080" max="15080" width="59.85546875" style="91" customWidth="1"/>
    <col min="15081" max="15081" width="12.140625" style="91" customWidth="1"/>
    <col min="15082" max="15082" width="15.85546875" style="91" customWidth="1"/>
    <col min="15083" max="15083" width="17.7109375" style="91" customWidth="1"/>
    <col min="15084" max="15084" width="19" style="91" customWidth="1"/>
    <col min="15085" max="15085" width="13.5703125" style="91" customWidth="1"/>
    <col min="15086" max="15086" width="12" style="91" customWidth="1"/>
    <col min="15087" max="15335" width="9.140625" style="91"/>
    <col min="15336" max="15336" width="59.85546875" style="91" customWidth="1"/>
    <col min="15337" max="15337" width="12.140625" style="91" customWidth="1"/>
    <col min="15338" max="15338" width="15.85546875" style="91" customWidth="1"/>
    <col min="15339" max="15339" width="17.7109375" style="91" customWidth="1"/>
    <col min="15340" max="15340" width="19" style="91" customWidth="1"/>
    <col min="15341" max="15341" width="13.5703125" style="91" customWidth="1"/>
    <col min="15342" max="15342" width="12" style="91" customWidth="1"/>
    <col min="15343" max="15591" width="9.140625" style="91"/>
    <col min="15592" max="15592" width="59.85546875" style="91" customWidth="1"/>
    <col min="15593" max="15593" width="12.140625" style="91" customWidth="1"/>
    <col min="15594" max="15594" width="15.85546875" style="91" customWidth="1"/>
    <col min="15595" max="15595" width="17.7109375" style="91" customWidth="1"/>
    <col min="15596" max="15596" width="19" style="91" customWidth="1"/>
    <col min="15597" max="15597" width="13.5703125" style="91" customWidth="1"/>
    <col min="15598" max="15598" width="12" style="91" customWidth="1"/>
    <col min="15599" max="15847" width="9.140625" style="91"/>
    <col min="15848" max="15848" width="59.85546875" style="91" customWidth="1"/>
    <col min="15849" max="15849" width="12.140625" style="91" customWidth="1"/>
    <col min="15850" max="15850" width="15.85546875" style="91" customWidth="1"/>
    <col min="15851" max="15851" width="17.7109375" style="91" customWidth="1"/>
    <col min="15852" max="15852" width="19" style="91" customWidth="1"/>
    <col min="15853" max="15853" width="13.5703125" style="91" customWidth="1"/>
    <col min="15854" max="15854" width="12" style="91" customWidth="1"/>
    <col min="15855" max="16103" width="9.140625" style="91"/>
    <col min="16104" max="16104" width="59.85546875" style="91" customWidth="1"/>
    <col min="16105" max="16105" width="12.140625" style="91" customWidth="1"/>
    <col min="16106" max="16106" width="15.85546875" style="91" customWidth="1"/>
    <col min="16107" max="16107" width="17.7109375" style="91" customWidth="1"/>
    <col min="16108" max="16108" width="19" style="91" customWidth="1"/>
    <col min="16109" max="16109" width="13.5703125" style="91" customWidth="1"/>
    <col min="16110" max="16110" width="12" style="91" customWidth="1"/>
    <col min="16111" max="16384" width="9.140625" style="91"/>
  </cols>
  <sheetData>
    <row r="1" spans="1:9" ht="41.25" customHeight="1" x14ac:dyDescent="0.3">
      <c r="C1" s="400" t="s">
        <v>570</v>
      </c>
      <c r="D1" s="401"/>
      <c r="E1" s="101"/>
    </row>
    <row r="2" spans="1:9" s="95" customFormat="1" ht="18" x14ac:dyDescent="0.35">
      <c r="A2" s="402" t="s">
        <v>13</v>
      </c>
      <c r="B2" s="402"/>
      <c r="C2" s="402"/>
      <c r="D2" s="402"/>
      <c r="E2" s="104"/>
      <c r="F2" s="105"/>
      <c r="G2" s="105"/>
      <c r="I2" s="106"/>
    </row>
    <row r="3" spans="1:9" s="95" customFormat="1" ht="18" x14ac:dyDescent="0.35">
      <c r="A3" s="402" t="s">
        <v>493</v>
      </c>
      <c r="B3" s="402"/>
      <c r="C3" s="402"/>
      <c r="D3" s="402"/>
      <c r="E3" s="104"/>
      <c r="F3" s="105"/>
      <c r="G3" s="105"/>
      <c r="I3" s="106"/>
    </row>
    <row r="4" spans="1:9" s="95" customFormat="1" ht="18" x14ac:dyDescent="0.35">
      <c r="A4" s="107" t="s">
        <v>329</v>
      </c>
      <c r="B4" s="108" t="s">
        <v>713</v>
      </c>
      <c r="C4" s="108"/>
      <c r="D4" s="108"/>
      <c r="F4" s="105"/>
      <c r="G4" s="105"/>
      <c r="I4" s="106"/>
    </row>
    <row r="5" spans="1:9" s="109" customFormat="1" x14ac:dyDescent="0.3">
      <c r="D5" s="110" t="s">
        <v>14</v>
      </c>
      <c r="E5" s="111"/>
      <c r="F5" s="112"/>
      <c r="G5" s="112"/>
      <c r="I5" s="113"/>
    </row>
    <row r="6" spans="1:9" ht="51" customHeight="1" x14ac:dyDescent="0.3">
      <c r="A6" s="114" t="s">
        <v>15</v>
      </c>
      <c r="B6" s="114" t="s">
        <v>16</v>
      </c>
      <c r="C6" s="114" t="s">
        <v>17</v>
      </c>
      <c r="D6" s="114" t="s">
        <v>18</v>
      </c>
      <c r="E6" s="115"/>
      <c r="F6" s="403" t="s">
        <v>468</v>
      </c>
      <c r="G6" s="403"/>
      <c r="I6" s="116" t="s">
        <v>429</v>
      </c>
    </row>
    <row r="7" spans="1:9" x14ac:dyDescent="0.3">
      <c r="A7" s="117">
        <v>1</v>
      </c>
      <c r="B7" s="117">
        <v>2</v>
      </c>
      <c r="C7" s="117">
        <v>3</v>
      </c>
      <c r="D7" s="117">
        <v>4</v>
      </c>
      <c r="E7" s="118"/>
      <c r="F7" s="119"/>
      <c r="G7" s="119"/>
    </row>
    <row r="8" spans="1:9" ht="15.75" customHeight="1" x14ac:dyDescent="0.3">
      <c r="A8" s="120" t="s">
        <v>83</v>
      </c>
      <c r="B8" s="121" t="s">
        <v>67</v>
      </c>
      <c r="C8" s="122" t="s">
        <v>67</v>
      </c>
      <c r="D8" s="123" t="s">
        <v>67</v>
      </c>
      <c r="E8" s="124"/>
      <c r="F8" s="119"/>
      <c r="G8" s="119"/>
    </row>
    <row r="9" spans="1:9" ht="15.75" customHeight="1" x14ac:dyDescent="0.3">
      <c r="A9" s="125" t="s">
        <v>19</v>
      </c>
      <c r="B9" s="121" t="s">
        <v>84</v>
      </c>
      <c r="C9" s="154">
        <f>'Баланс UDC'!C9+'Баланс UDC Astana'!C9</f>
        <v>105564</v>
      </c>
      <c r="D9" s="154">
        <v>8870</v>
      </c>
      <c r="E9" s="126"/>
      <c r="F9" s="127"/>
      <c r="G9" s="128"/>
      <c r="I9" s="129">
        <f t="shared" ref="I9:I65" si="0">C9-D9</f>
        <v>96694</v>
      </c>
    </row>
    <row r="10" spans="1:9" ht="15.75" customHeight="1" x14ac:dyDescent="0.3">
      <c r="A10" s="125" t="s">
        <v>52</v>
      </c>
      <c r="B10" s="121" t="s">
        <v>67</v>
      </c>
      <c r="C10" s="155"/>
      <c r="D10" s="155"/>
      <c r="E10" s="130"/>
      <c r="F10" s="119"/>
      <c r="G10" s="131"/>
      <c r="I10" s="129">
        <f t="shared" si="0"/>
        <v>0</v>
      </c>
    </row>
    <row r="11" spans="1:9" ht="15.75" customHeight="1" x14ac:dyDescent="0.3">
      <c r="A11" s="125" t="s">
        <v>85</v>
      </c>
      <c r="B11" s="121" t="s">
        <v>1</v>
      </c>
      <c r="C11" s="154">
        <f>'Баланс UDC'!C11+'Баланс UDC Astana'!C11</f>
        <v>0</v>
      </c>
      <c r="D11" s="154">
        <v>0</v>
      </c>
      <c r="E11" s="126"/>
      <c r="F11" s="119"/>
      <c r="G11" s="131"/>
      <c r="I11" s="129">
        <f t="shared" si="0"/>
        <v>0</v>
      </c>
    </row>
    <row r="12" spans="1:9" ht="29.25" customHeight="1" x14ac:dyDescent="0.3">
      <c r="A12" s="125" t="s">
        <v>86</v>
      </c>
      <c r="B12" s="121" t="s">
        <v>2</v>
      </c>
      <c r="C12" s="154">
        <f>'Баланс UDC'!C12+'Баланс UDC Astana'!C12</f>
        <v>105564</v>
      </c>
      <c r="D12" s="154">
        <v>8870</v>
      </c>
      <c r="E12" s="126"/>
      <c r="F12" s="127" t="e">
        <f>#REF!+#REF!</f>
        <v>#REF!</v>
      </c>
      <c r="G12" s="127" t="e">
        <f>F12-C12</f>
        <v>#REF!</v>
      </c>
      <c r="I12" s="129">
        <f t="shared" si="0"/>
        <v>96694</v>
      </c>
    </row>
    <row r="13" spans="1:9" x14ac:dyDescent="0.3">
      <c r="A13" s="125" t="s">
        <v>20</v>
      </c>
      <c r="B13" s="121" t="s">
        <v>87</v>
      </c>
      <c r="C13" s="154">
        <f>'Баланс UDC'!C13+'Баланс UDC Astana'!C13</f>
        <v>0</v>
      </c>
      <c r="D13" s="154">
        <v>0</v>
      </c>
      <c r="E13" s="126"/>
      <c r="F13" s="119"/>
      <c r="G13" s="119">
        <f t="shared" ref="G13:G18" si="1">F13-C13</f>
        <v>0</v>
      </c>
      <c r="I13" s="129">
        <f t="shared" si="0"/>
        <v>0</v>
      </c>
    </row>
    <row r="14" spans="1:9" x14ac:dyDescent="0.3">
      <c r="A14" s="125" t="s">
        <v>26</v>
      </c>
      <c r="B14" s="121" t="s">
        <v>88</v>
      </c>
      <c r="C14" s="154">
        <f>'Баланс UDC'!C14+'Баланс UDC Astana'!C14</f>
        <v>39025</v>
      </c>
      <c r="D14" s="154">
        <v>0</v>
      </c>
      <c r="E14" s="126"/>
      <c r="F14" s="127" t="e">
        <f>#REF!</f>
        <v>#REF!</v>
      </c>
      <c r="G14" s="127" t="e">
        <f t="shared" si="1"/>
        <v>#REF!</v>
      </c>
      <c r="I14" s="129">
        <f t="shared" si="0"/>
        <v>39025</v>
      </c>
    </row>
    <row r="15" spans="1:9" x14ac:dyDescent="0.3">
      <c r="A15" s="125" t="s">
        <v>52</v>
      </c>
      <c r="B15" s="121" t="s">
        <v>67</v>
      </c>
      <c r="C15" s="155"/>
      <c r="D15" s="155"/>
      <c r="E15" s="130"/>
      <c r="F15" s="119"/>
      <c r="G15" s="119">
        <f t="shared" si="1"/>
        <v>0</v>
      </c>
      <c r="I15" s="129">
        <f t="shared" si="0"/>
        <v>0</v>
      </c>
    </row>
    <row r="16" spans="1:9" x14ac:dyDescent="0.3">
      <c r="A16" s="125" t="s">
        <v>89</v>
      </c>
      <c r="B16" s="121" t="s">
        <v>5</v>
      </c>
      <c r="C16" s="154">
        <f>'Баланс UDC'!C16+'Баланс UDC Astana'!C16</f>
        <v>25</v>
      </c>
      <c r="D16" s="154">
        <v>0</v>
      </c>
      <c r="E16" s="126"/>
      <c r="F16" s="127" t="e">
        <f>#REF!</f>
        <v>#REF!</v>
      </c>
      <c r="G16" s="127" t="e">
        <f t="shared" si="1"/>
        <v>#REF!</v>
      </c>
      <c r="I16" s="129">
        <f t="shared" si="0"/>
        <v>25</v>
      </c>
    </row>
    <row r="17" spans="1:9" x14ac:dyDescent="0.3">
      <c r="A17" s="125" t="s">
        <v>25</v>
      </c>
      <c r="B17" s="121" t="s">
        <v>21</v>
      </c>
      <c r="C17" s="154">
        <f>'Баланс UDC'!C17+'Баланс UDC Astana'!C17</f>
        <v>283448</v>
      </c>
      <c r="D17" s="154">
        <v>1025048</v>
      </c>
      <c r="E17" s="126"/>
      <c r="F17" s="127" t="e">
        <f>#REF!</f>
        <v>#REF!</v>
      </c>
      <c r="G17" s="127" t="e">
        <f t="shared" si="1"/>
        <v>#REF!</v>
      </c>
      <c r="I17" s="129">
        <f t="shared" si="0"/>
        <v>-741600</v>
      </c>
    </row>
    <row r="18" spans="1:9" x14ac:dyDescent="0.3">
      <c r="A18" s="125" t="s">
        <v>52</v>
      </c>
      <c r="B18" s="121" t="s">
        <v>67</v>
      </c>
      <c r="C18" s="155"/>
      <c r="D18" s="155"/>
      <c r="E18" s="130"/>
      <c r="F18" s="119"/>
      <c r="G18" s="119">
        <f t="shared" si="1"/>
        <v>0</v>
      </c>
      <c r="I18" s="129">
        <f t="shared" si="0"/>
        <v>0</v>
      </c>
    </row>
    <row r="19" spans="1:9" x14ac:dyDescent="0.3">
      <c r="A19" s="125" t="s">
        <v>89</v>
      </c>
      <c r="B19" s="121" t="s">
        <v>6</v>
      </c>
      <c r="C19" s="156">
        <f>'Баланс UDC'!C19+'Баланс UDC Astana'!C19</f>
        <v>207</v>
      </c>
      <c r="D19" s="274"/>
      <c r="E19" s="126"/>
      <c r="F19" s="119"/>
      <c r="G19" s="119">
        <f>F19-C19</f>
        <v>-207</v>
      </c>
      <c r="I19" s="129">
        <f t="shared" si="0"/>
        <v>207</v>
      </c>
    </row>
    <row r="20" spans="1:9" ht="30" x14ac:dyDescent="0.3">
      <c r="A20" s="125" t="s">
        <v>11</v>
      </c>
      <c r="B20" s="121" t="s">
        <v>90</v>
      </c>
      <c r="C20" s="154">
        <f>'Баланс UDC'!C20+'Баланс UDC Astana'!C20</f>
        <v>349391</v>
      </c>
      <c r="D20" s="154">
        <v>0</v>
      </c>
      <c r="E20" s="126"/>
      <c r="F20" s="127" t="e">
        <f>#REF!+#REF!+#REF!</f>
        <v>#REF!</v>
      </c>
      <c r="G20" s="127" t="e">
        <f>F20-C20</f>
        <v>#REF!</v>
      </c>
      <c r="I20" s="129">
        <f t="shared" si="0"/>
        <v>349391</v>
      </c>
    </row>
    <row r="21" spans="1:9" x14ac:dyDescent="0.3">
      <c r="A21" s="125" t="s">
        <v>52</v>
      </c>
      <c r="B21" s="121"/>
      <c r="C21" s="154"/>
      <c r="D21" s="154"/>
      <c r="E21" s="126"/>
      <c r="F21" s="119"/>
      <c r="G21" s="119"/>
      <c r="I21" s="129">
        <f t="shared" si="0"/>
        <v>0</v>
      </c>
    </row>
    <row r="22" spans="1:9" x14ac:dyDescent="0.3">
      <c r="A22" s="125" t="s">
        <v>89</v>
      </c>
      <c r="B22" s="121" t="s">
        <v>7</v>
      </c>
      <c r="C22" s="154">
        <f>'Баланс UDC'!C22+'Баланс UDC Astana'!C22</f>
        <v>23014</v>
      </c>
      <c r="D22" s="154">
        <v>0</v>
      </c>
      <c r="E22" s="126"/>
      <c r="F22" s="127" t="e">
        <f>#REF!+#REF!</f>
        <v>#REF!</v>
      </c>
      <c r="G22" s="127" t="e">
        <f>F22-C22</f>
        <v>#REF!</v>
      </c>
      <c r="I22" s="129">
        <f t="shared" si="0"/>
        <v>23014</v>
      </c>
    </row>
    <row r="23" spans="1:9" ht="30" x14ac:dyDescent="0.3">
      <c r="A23" s="125" t="s">
        <v>258</v>
      </c>
      <c r="B23" s="121" t="s">
        <v>91</v>
      </c>
      <c r="C23" s="154">
        <f>'Баланс UDC'!C23+'Баланс UDC Astana'!C23</f>
        <v>94305</v>
      </c>
      <c r="D23" s="154">
        <v>0</v>
      </c>
      <c r="E23" s="126"/>
      <c r="F23" s="127" t="e">
        <f>#REF!+#REF!</f>
        <v>#REF!</v>
      </c>
      <c r="G23" s="127" t="e">
        <f>F23-C23</f>
        <v>#REF!</v>
      </c>
      <c r="I23" s="129">
        <f t="shared" si="0"/>
        <v>94305</v>
      </c>
    </row>
    <row r="24" spans="1:9" x14ac:dyDescent="0.3">
      <c r="A24" s="125" t="s">
        <v>52</v>
      </c>
      <c r="B24" s="121" t="s">
        <v>67</v>
      </c>
      <c r="C24" s="155"/>
      <c r="D24" s="155"/>
      <c r="E24" s="130"/>
      <c r="F24" s="119"/>
      <c r="G24" s="119"/>
      <c r="I24" s="129">
        <f t="shared" si="0"/>
        <v>0</v>
      </c>
    </row>
    <row r="25" spans="1:9" x14ac:dyDescent="0.3">
      <c r="A25" s="125" t="s">
        <v>92</v>
      </c>
      <c r="B25" s="121" t="s">
        <v>8</v>
      </c>
      <c r="C25" s="154">
        <f>'Баланс UDC'!C25+'Баланс UDC Astana'!C25</f>
        <v>308</v>
      </c>
      <c r="D25" s="154">
        <v>0</v>
      </c>
      <c r="E25" s="126"/>
      <c r="F25" s="127" t="e">
        <f>#REF!+#REF!</f>
        <v>#REF!</v>
      </c>
      <c r="G25" s="127" t="e">
        <f>F25-C25</f>
        <v>#REF!</v>
      </c>
      <c r="I25" s="129">
        <f t="shared" si="0"/>
        <v>308</v>
      </c>
    </row>
    <row r="26" spans="1:9" ht="30" x14ac:dyDescent="0.3">
      <c r="A26" s="125" t="s">
        <v>259</v>
      </c>
      <c r="B26" s="121" t="s">
        <v>93</v>
      </c>
      <c r="C26" s="154">
        <f>'Баланс UDC'!C26+'Баланс UDC Astana'!C26</f>
        <v>321662</v>
      </c>
      <c r="D26" s="154">
        <v>239933</v>
      </c>
      <c r="E26" s="126"/>
      <c r="I26" s="129">
        <f t="shared" si="0"/>
        <v>81729</v>
      </c>
    </row>
    <row r="27" spans="1:9" x14ac:dyDescent="0.3">
      <c r="A27" s="125" t="s">
        <v>52</v>
      </c>
      <c r="B27" s="121" t="s">
        <v>67</v>
      </c>
      <c r="C27" s="155"/>
      <c r="D27" s="155"/>
      <c r="E27" s="130"/>
      <c r="I27" s="129">
        <f t="shared" si="0"/>
        <v>0</v>
      </c>
    </row>
    <row r="28" spans="1:9" x14ac:dyDescent="0.3">
      <c r="A28" s="125" t="s">
        <v>92</v>
      </c>
      <c r="B28" s="121" t="s">
        <v>23</v>
      </c>
      <c r="C28" s="154">
        <f>'Баланс UDC'!C28+'Баланс UDC Astana'!C28</f>
        <v>1069</v>
      </c>
      <c r="D28" s="154">
        <v>3933</v>
      </c>
      <c r="E28" s="126"/>
      <c r="I28" s="129">
        <f t="shared" si="0"/>
        <v>-2864</v>
      </c>
    </row>
    <row r="29" spans="1:9" x14ac:dyDescent="0.3">
      <c r="A29" s="125" t="s">
        <v>27</v>
      </c>
      <c r="B29" s="121" t="s">
        <v>94</v>
      </c>
      <c r="C29" s="154">
        <f>'Баланс UDC'!C29+'Баланс UDC Astana'!C29</f>
        <v>0</v>
      </c>
      <c r="D29" s="154">
        <v>0</v>
      </c>
      <c r="E29" s="126"/>
      <c r="I29" s="129">
        <f t="shared" si="0"/>
        <v>0</v>
      </c>
    </row>
    <row r="30" spans="1:9" x14ac:dyDescent="0.3">
      <c r="A30" s="125" t="s">
        <v>28</v>
      </c>
      <c r="B30" s="121" t="s">
        <v>95</v>
      </c>
      <c r="C30" s="154"/>
      <c r="D30" s="154">
        <v>0</v>
      </c>
      <c r="E30" s="126"/>
      <c r="I30" s="129">
        <f t="shared" si="0"/>
        <v>0</v>
      </c>
    </row>
    <row r="31" spans="1:9" x14ac:dyDescent="0.3">
      <c r="A31" s="125" t="s">
        <v>29</v>
      </c>
      <c r="B31" s="121" t="s">
        <v>96</v>
      </c>
      <c r="C31" s="154">
        <f>'Баланс UDC'!C31+'Баланс UDC Astana'!C31</f>
        <v>36</v>
      </c>
      <c r="D31" s="154">
        <v>81</v>
      </c>
      <c r="E31" s="126"/>
      <c r="I31" s="129">
        <f t="shared" si="0"/>
        <v>-45</v>
      </c>
    </row>
    <row r="32" spans="1:9" x14ac:dyDescent="0.3">
      <c r="A32" s="125" t="s">
        <v>30</v>
      </c>
      <c r="B32" s="121" t="s">
        <v>97</v>
      </c>
      <c r="C32" s="154">
        <f>'Баланс UDC'!C32+'Баланс UDC Astana'!C32</f>
        <v>0</v>
      </c>
      <c r="D32" s="154">
        <v>0</v>
      </c>
      <c r="E32" s="126"/>
      <c r="I32" s="129">
        <f t="shared" si="0"/>
        <v>0</v>
      </c>
    </row>
    <row r="33" spans="1:9" x14ac:dyDescent="0.3">
      <c r="A33" s="125" t="s">
        <v>32</v>
      </c>
      <c r="B33" s="121" t="s">
        <v>98</v>
      </c>
      <c r="C33" s="154">
        <f>'Баланс UDC'!C33+'Баланс UDC Astana'!C33</f>
        <v>12658</v>
      </c>
      <c r="D33" s="154">
        <v>11347</v>
      </c>
      <c r="E33" s="126"/>
      <c r="I33" s="129">
        <f t="shared" si="0"/>
        <v>1311</v>
      </c>
    </row>
    <row r="34" spans="1:9" x14ac:dyDescent="0.3">
      <c r="A34" s="125" t="s">
        <v>31</v>
      </c>
      <c r="B34" s="121" t="s">
        <v>64</v>
      </c>
      <c r="C34" s="154">
        <f>'Баланс UDC'!C34+'Баланс UDC Astana'!C34</f>
        <v>5259</v>
      </c>
      <c r="D34" s="154">
        <v>5321</v>
      </c>
      <c r="E34" s="126"/>
      <c r="I34" s="129">
        <f t="shared" si="0"/>
        <v>-62</v>
      </c>
    </row>
    <row r="35" spans="1:9" ht="30" x14ac:dyDescent="0.3">
      <c r="A35" s="125" t="s">
        <v>438</v>
      </c>
      <c r="B35" s="121" t="s">
        <v>66</v>
      </c>
      <c r="C35" s="154">
        <f>'Баланс UDC'!C35+'Баланс UDC Astana'!C35</f>
        <v>0</v>
      </c>
      <c r="D35" s="154">
        <v>0</v>
      </c>
      <c r="E35" s="126"/>
      <c r="I35" s="129">
        <f t="shared" si="0"/>
        <v>0</v>
      </c>
    </row>
    <row r="36" spans="1:9" x14ac:dyDescent="0.3">
      <c r="A36" s="125" t="s">
        <v>22</v>
      </c>
      <c r="B36" s="121" t="s">
        <v>75</v>
      </c>
      <c r="C36" s="154">
        <f>'Баланс UDC'!C36+'Баланс UDC Astana'!C36</f>
        <v>104000</v>
      </c>
      <c r="D36" s="154">
        <v>0</v>
      </c>
      <c r="E36" s="126"/>
      <c r="I36" s="129">
        <f t="shared" si="0"/>
        <v>104000</v>
      </c>
    </row>
    <row r="37" spans="1:9" x14ac:dyDescent="0.3">
      <c r="A37" s="125" t="s">
        <v>99</v>
      </c>
      <c r="B37" s="121" t="s">
        <v>77</v>
      </c>
      <c r="C37" s="156">
        <f>'Баланс UDC'!C37+'Баланс UDC Astana'!C37</f>
        <v>18899</v>
      </c>
      <c r="D37" s="274">
        <v>19718</v>
      </c>
      <c r="E37" s="126"/>
      <c r="F37" s="127" t="e">
        <f>#REF!</f>
        <v>#REF!</v>
      </c>
      <c r="G37" s="127" t="e">
        <f>F37-C37-C58-C59-C36</f>
        <v>#REF!</v>
      </c>
      <c r="I37" s="129">
        <f t="shared" si="0"/>
        <v>-819</v>
      </c>
    </row>
    <row r="38" spans="1:9" x14ac:dyDescent="0.3">
      <c r="A38" s="125" t="s">
        <v>52</v>
      </c>
      <c r="B38" s="121" t="s">
        <v>67</v>
      </c>
      <c r="C38" s="155"/>
      <c r="D38" s="155"/>
      <c r="E38" s="130"/>
      <c r="I38" s="129">
        <f t="shared" si="0"/>
        <v>0</v>
      </c>
    </row>
    <row r="39" spans="1:9" x14ac:dyDescent="0.3">
      <c r="A39" s="125" t="s">
        <v>100</v>
      </c>
      <c r="B39" s="121" t="s">
        <v>118</v>
      </c>
      <c r="C39" s="157">
        <f>'Баланс UDC'!C39+'Баланс UDC Astana'!C39</f>
        <v>0</v>
      </c>
      <c r="D39" s="275">
        <v>0</v>
      </c>
      <c r="E39" s="126"/>
      <c r="F39" s="132"/>
      <c r="G39" s="132"/>
      <c r="I39" s="129">
        <f t="shared" si="0"/>
        <v>0</v>
      </c>
    </row>
    <row r="40" spans="1:9" x14ac:dyDescent="0.3">
      <c r="A40" s="125" t="s">
        <v>102</v>
      </c>
      <c r="B40" s="133" t="s">
        <v>439</v>
      </c>
      <c r="C40" s="154">
        <f>'Баланс UDC'!C40+'Баланс UDC Astana'!C40</f>
        <v>0</v>
      </c>
      <c r="D40" s="154"/>
      <c r="E40" s="126"/>
      <c r="F40" s="132"/>
      <c r="G40" s="132"/>
      <c r="I40" s="129">
        <f t="shared" si="0"/>
        <v>0</v>
      </c>
    </row>
    <row r="41" spans="1:9" x14ac:dyDescent="0.3">
      <c r="A41" s="125" t="s">
        <v>103</v>
      </c>
      <c r="B41" s="133" t="s">
        <v>440</v>
      </c>
      <c r="C41" s="154">
        <f>'Баланс UDC'!C41+'Баланс UDC Astana'!C41</f>
        <v>0</v>
      </c>
      <c r="D41" s="154"/>
      <c r="E41" s="126"/>
      <c r="I41" s="129">
        <f t="shared" si="0"/>
        <v>0</v>
      </c>
    </row>
    <row r="42" spans="1:9" x14ac:dyDescent="0.3">
      <c r="A42" s="125" t="s">
        <v>104</v>
      </c>
      <c r="B42" s="134" t="s">
        <v>120</v>
      </c>
      <c r="C42" s="154">
        <f>'Баланс UDC'!C42+'Баланс UDC Astana'!C42</f>
        <v>1000</v>
      </c>
      <c r="D42" s="154">
        <v>421</v>
      </c>
      <c r="E42" s="126"/>
      <c r="I42" s="129">
        <f t="shared" si="0"/>
        <v>579</v>
      </c>
    </row>
    <row r="43" spans="1:9" x14ac:dyDescent="0.3">
      <c r="A43" s="125" t="s">
        <v>106</v>
      </c>
      <c r="B43" s="134" t="s">
        <v>122</v>
      </c>
      <c r="C43" s="154">
        <f>'Баланс UDC'!C43+'Баланс UDC Astana'!C43</f>
        <v>0</v>
      </c>
      <c r="D43" s="154"/>
      <c r="E43" s="126"/>
      <c r="I43" s="129">
        <f t="shared" si="0"/>
        <v>0</v>
      </c>
    </row>
    <row r="44" spans="1:9" x14ac:dyDescent="0.3">
      <c r="A44" s="125" t="s">
        <v>108</v>
      </c>
      <c r="B44" s="134" t="s">
        <v>124</v>
      </c>
      <c r="C44" s="154">
        <f>'Баланс UDC'!C44+'Баланс UDC Astana'!C44</f>
        <v>7702</v>
      </c>
      <c r="D44" s="154">
        <v>12203</v>
      </c>
      <c r="E44" s="126"/>
      <c r="I44" s="129">
        <f t="shared" si="0"/>
        <v>-4501</v>
      </c>
    </row>
    <row r="45" spans="1:9" x14ac:dyDescent="0.3">
      <c r="A45" s="125" t="s">
        <v>110</v>
      </c>
      <c r="B45" s="134" t="s">
        <v>228</v>
      </c>
      <c r="C45" s="154">
        <f>'Баланс UDC'!C45+'Баланс UDC Astana'!C45</f>
        <v>10197</v>
      </c>
      <c r="D45" s="154">
        <v>7094</v>
      </c>
      <c r="E45" s="126"/>
      <c r="I45" s="129">
        <f t="shared" si="0"/>
        <v>3103</v>
      </c>
    </row>
    <row r="46" spans="1:9" x14ac:dyDescent="0.3">
      <c r="A46" s="125" t="s">
        <v>112</v>
      </c>
      <c r="B46" s="134" t="s">
        <v>441</v>
      </c>
      <c r="C46" s="154">
        <f>'Баланс UDC'!C46+'Баланс UDC Astana'!C46</f>
        <v>0</v>
      </c>
      <c r="D46" s="154">
        <v>0</v>
      </c>
      <c r="E46" s="126"/>
      <c r="I46" s="129">
        <f t="shared" si="0"/>
        <v>0</v>
      </c>
    </row>
    <row r="47" spans="1:9" x14ac:dyDescent="0.3">
      <c r="A47" s="125" t="s">
        <v>114</v>
      </c>
      <c r="B47" s="134" t="s">
        <v>442</v>
      </c>
      <c r="C47" s="154">
        <f>'Баланс UDC'!C47+'Баланс UDC Astana'!C47</f>
        <v>0</v>
      </c>
      <c r="D47" s="154">
        <v>0</v>
      </c>
      <c r="E47" s="126"/>
      <c r="I47" s="129">
        <f t="shared" si="0"/>
        <v>0</v>
      </c>
    </row>
    <row r="48" spans="1:9" x14ac:dyDescent="0.3">
      <c r="A48" s="125" t="s">
        <v>24</v>
      </c>
      <c r="B48" s="134" t="s">
        <v>443</v>
      </c>
      <c r="C48" s="154">
        <f>'Баланс UDC'!C48+'Баланс UDC Astana'!C48</f>
        <v>0</v>
      </c>
      <c r="D48" s="154">
        <v>0</v>
      </c>
      <c r="E48" s="126"/>
      <c r="I48" s="129">
        <f t="shared" si="0"/>
        <v>0</v>
      </c>
    </row>
    <row r="49" spans="1:9" x14ac:dyDescent="0.3">
      <c r="A49" s="125" t="s">
        <v>115</v>
      </c>
      <c r="B49" s="134" t="s">
        <v>444</v>
      </c>
      <c r="C49" s="154">
        <f>'Баланс UDC'!C49+'Баланс UDC Astana'!C49</f>
        <v>0</v>
      </c>
      <c r="D49" s="154">
        <v>0</v>
      </c>
      <c r="E49" s="126"/>
      <c r="I49" s="129">
        <f t="shared" si="0"/>
        <v>0</v>
      </c>
    </row>
    <row r="50" spans="1:9" x14ac:dyDescent="0.3">
      <c r="A50" s="125" t="s">
        <v>116</v>
      </c>
      <c r="B50" s="134" t="s">
        <v>78</v>
      </c>
      <c r="C50" s="154">
        <f>'Баланс UDC'!C50+'Баланс UDC Astana'!C50</f>
        <v>0</v>
      </c>
      <c r="D50" s="154">
        <v>0</v>
      </c>
      <c r="E50" s="126"/>
      <c r="I50" s="129">
        <f t="shared" si="0"/>
        <v>0</v>
      </c>
    </row>
    <row r="51" spans="1:9" x14ac:dyDescent="0.3">
      <c r="A51" s="125" t="s">
        <v>52</v>
      </c>
      <c r="B51" s="134" t="s">
        <v>67</v>
      </c>
      <c r="C51" s="155"/>
      <c r="D51" s="155"/>
      <c r="E51" s="130"/>
      <c r="I51" s="129">
        <f t="shared" si="0"/>
        <v>0</v>
      </c>
    </row>
    <row r="52" spans="1:9" x14ac:dyDescent="0.3">
      <c r="A52" s="125" t="s">
        <v>117</v>
      </c>
      <c r="B52" s="134" t="s">
        <v>445</v>
      </c>
      <c r="C52" s="154">
        <f>'Баланс UDC'!C52+'Баланс UDC Astana'!C52</f>
        <v>0</v>
      </c>
      <c r="D52" s="154">
        <v>0</v>
      </c>
      <c r="E52" s="126"/>
      <c r="F52" s="132"/>
      <c r="G52" s="132"/>
      <c r="I52" s="129">
        <f t="shared" si="0"/>
        <v>0</v>
      </c>
    </row>
    <row r="53" spans="1:9" x14ac:dyDescent="0.3">
      <c r="A53" s="125" t="s">
        <v>119</v>
      </c>
      <c r="B53" s="134" t="s">
        <v>446</v>
      </c>
      <c r="C53" s="154">
        <f>'Баланс UDC'!C53+'Баланс UDC Astana'!C53</f>
        <v>0</v>
      </c>
      <c r="D53" s="154">
        <v>0</v>
      </c>
      <c r="E53" s="126"/>
      <c r="I53" s="129">
        <f t="shared" si="0"/>
        <v>0</v>
      </c>
    </row>
    <row r="54" spans="1:9" x14ac:dyDescent="0.3">
      <c r="A54" s="125" t="s">
        <v>121</v>
      </c>
      <c r="B54" s="134" t="s">
        <v>447</v>
      </c>
      <c r="C54" s="154">
        <f>'Баланс UDC'!C54+'Баланс UDC Astana'!C54</f>
        <v>0</v>
      </c>
      <c r="D54" s="154">
        <v>0</v>
      </c>
      <c r="E54" s="126"/>
      <c r="I54" s="129">
        <f t="shared" si="0"/>
        <v>0</v>
      </c>
    </row>
    <row r="55" spans="1:9" x14ac:dyDescent="0.3">
      <c r="A55" s="125" t="s">
        <v>123</v>
      </c>
      <c r="B55" s="134" t="s">
        <v>448</v>
      </c>
      <c r="C55" s="154">
        <f>'Баланс UDC'!C55+'Баланс UDC Astana'!C55</f>
        <v>0</v>
      </c>
      <c r="D55" s="154">
        <v>0</v>
      </c>
      <c r="E55" s="126"/>
      <c r="I55" s="129">
        <f t="shared" si="0"/>
        <v>0</v>
      </c>
    </row>
    <row r="56" spans="1:9" x14ac:dyDescent="0.3">
      <c r="A56" s="125" t="s">
        <v>255</v>
      </c>
      <c r="B56" s="134" t="s">
        <v>79</v>
      </c>
      <c r="C56" s="154" t="e">
        <f>'Баланс UDC'!C56+'Баланс UDC Astana'!C56</f>
        <v>#REF!</v>
      </c>
      <c r="D56" s="154">
        <v>0</v>
      </c>
      <c r="E56" s="126"/>
      <c r="I56" s="129" t="e">
        <f t="shared" si="0"/>
        <v>#REF!</v>
      </c>
    </row>
    <row r="57" spans="1:9" x14ac:dyDescent="0.3">
      <c r="A57" s="125" t="s">
        <v>33</v>
      </c>
      <c r="B57" s="134" t="s">
        <v>80</v>
      </c>
      <c r="C57" s="154">
        <f>'Баланс UDC'!C57+'Баланс UDC Astana'!C57</f>
        <v>789</v>
      </c>
      <c r="D57" s="154">
        <v>481</v>
      </c>
      <c r="E57" s="126"/>
      <c r="I57" s="129">
        <f t="shared" si="0"/>
        <v>308</v>
      </c>
    </row>
    <row r="58" spans="1:9" x14ac:dyDescent="0.3">
      <c r="A58" s="125" t="s">
        <v>125</v>
      </c>
      <c r="B58" s="134" t="s">
        <v>126</v>
      </c>
      <c r="C58" s="154">
        <f>'Баланс UDC'!C58+'Баланс UDC Astana'!C58</f>
        <v>7917</v>
      </c>
      <c r="D58" s="154">
        <v>3239</v>
      </c>
      <c r="E58" s="126"/>
      <c r="I58" s="129">
        <f t="shared" si="0"/>
        <v>4678</v>
      </c>
    </row>
    <row r="59" spans="1:9" x14ac:dyDescent="0.3">
      <c r="A59" s="125" t="s">
        <v>34</v>
      </c>
      <c r="B59" s="134" t="s">
        <v>128</v>
      </c>
      <c r="C59" s="154" t="e">
        <f>'Баланс UDC'!C59+'Баланс UDC Astana'!C59</f>
        <v>#REF!</v>
      </c>
      <c r="D59" s="154">
        <v>0</v>
      </c>
      <c r="E59" s="126"/>
      <c r="I59" s="129" t="e">
        <f t="shared" si="0"/>
        <v>#REF!</v>
      </c>
    </row>
    <row r="60" spans="1:9" ht="15.75" customHeight="1" x14ac:dyDescent="0.3">
      <c r="A60" s="135" t="s">
        <v>127</v>
      </c>
      <c r="B60" s="136" t="s">
        <v>129</v>
      </c>
      <c r="C60" s="158" t="e">
        <f>SUM(C9,C17,C20,C23,C26,C29:C37,C50,C56:C59)</f>
        <v>#REF!</v>
      </c>
      <c r="D60" s="276">
        <v>1314038</v>
      </c>
      <c r="E60" s="137"/>
      <c r="F60" s="127" t="e">
        <f>C60-ROUND(#REF!/1000,0)</f>
        <v>#REF!</v>
      </c>
      <c r="G60" s="127"/>
      <c r="I60" s="129" t="e">
        <f t="shared" si="0"/>
        <v>#REF!</v>
      </c>
    </row>
    <row r="61" spans="1:9" ht="15.75" customHeight="1" x14ac:dyDescent="0.3">
      <c r="A61" s="120" t="s">
        <v>35</v>
      </c>
      <c r="B61" s="134" t="s">
        <v>67</v>
      </c>
      <c r="C61" s="159"/>
      <c r="D61" s="159"/>
      <c r="E61" s="130"/>
      <c r="I61" s="129">
        <f t="shared" si="0"/>
        <v>0</v>
      </c>
    </row>
    <row r="62" spans="1:9" x14ac:dyDescent="0.3">
      <c r="A62" s="125" t="s">
        <v>37</v>
      </c>
      <c r="B62" s="134">
        <v>23</v>
      </c>
      <c r="C62" s="160">
        <f>'Баланс UDC'!C62+'Баланс UDC Astana'!C62</f>
        <v>0</v>
      </c>
      <c r="D62" s="160"/>
      <c r="E62" s="126"/>
      <c r="F62" s="127" t="e">
        <f>#REF!</f>
        <v>#REF!</v>
      </c>
      <c r="G62" s="127" t="e">
        <f>F62-C62</f>
        <v>#REF!</v>
      </c>
      <c r="I62" s="129">
        <f t="shared" si="0"/>
        <v>0</v>
      </c>
    </row>
    <row r="63" spans="1:9" x14ac:dyDescent="0.3">
      <c r="A63" s="125" t="s">
        <v>36</v>
      </c>
      <c r="B63" s="134">
        <v>24</v>
      </c>
      <c r="C63" s="160">
        <f>'Баланс UDC'!C63+'Баланс UDC Astana'!C63</f>
        <v>0</v>
      </c>
      <c r="D63" s="160">
        <v>0</v>
      </c>
      <c r="E63" s="126"/>
      <c r="I63" s="129">
        <f t="shared" si="0"/>
        <v>0</v>
      </c>
    </row>
    <row r="64" spans="1:9" x14ac:dyDescent="0.3">
      <c r="A64" s="125" t="s">
        <v>131</v>
      </c>
      <c r="B64" s="134">
        <v>25</v>
      </c>
      <c r="C64" s="160">
        <f>'Баланс UDC'!C64+'Баланс UDC Astana'!C64</f>
        <v>0</v>
      </c>
      <c r="D64" s="160">
        <v>0</v>
      </c>
      <c r="E64" s="126"/>
      <c r="I64" s="129">
        <f t="shared" si="0"/>
        <v>0</v>
      </c>
    </row>
    <row r="65" spans="1:9" x14ac:dyDescent="0.3">
      <c r="A65" s="125" t="s">
        <v>40</v>
      </c>
      <c r="B65" s="134">
        <v>26</v>
      </c>
      <c r="C65" s="160">
        <f>'Баланс UDC'!C65+'Баланс UDC Astana'!C65</f>
        <v>0</v>
      </c>
      <c r="D65" s="160">
        <v>0</v>
      </c>
      <c r="E65" s="126"/>
      <c r="F65" s="132"/>
      <c r="G65" s="132"/>
      <c r="I65" s="129">
        <f t="shared" si="0"/>
        <v>0</v>
      </c>
    </row>
    <row r="66" spans="1:9" x14ac:dyDescent="0.3">
      <c r="A66" s="125" t="s">
        <v>39</v>
      </c>
      <c r="B66" s="134">
        <v>27</v>
      </c>
      <c r="C66" s="160">
        <f>'Баланс UDC'!C66+'Баланс UDC Astana'!C66</f>
        <v>12514</v>
      </c>
      <c r="D66" s="160">
        <v>5422</v>
      </c>
      <c r="E66" s="126"/>
      <c r="F66" s="132"/>
      <c r="G66" s="132"/>
      <c r="I66" s="129">
        <f>D66-C66</f>
        <v>-7092</v>
      </c>
    </row>
    <row r="67" spans="1:9" x14ac:dyDescent="0.3">
      <c r="A67" s="125" t="s">
        <v>135</v>
      </c>
      <c r="B67" s="134">
        <v>28</v>
      </c>
      <c r="C67" s="160">
        <f>'Баланс UDC'!C67+'Баланс UDC Astana'!C67</f>
        <v>7500</v>
      </c>
      <c r="D67" s="160"/>
      <c r="E67" s="126"/>
      <c r="F67" s="132"/>
      <c r="G67" s="132"/>
      <c r="I67" s="129">
        <f>D67-C67</f>
        <v>-7500</v>
      </c>
    </row>
    <row r="68" spans="1:9" x14ac:dyDescent="0.3">
      <c r="A68" s="125" t="s">
        <v>38</v>
      </c>
      <c r="B68" s="134">
        <v>29</v>
      </c>
      <c r="C68" s="161">
        <f>'Баланс UDC'!C68+'Баланс UDC Astana'!C68</f>
        <v>18273</v>
      </c>
      <c r="D68" s="277">
        <v>1846</v>
      </c>
      <c r="E68" s="126"/>
      <c r="F68" s="127" t="e">
        <f>#REF!/1000</f>
        <v>#REF!</v>
      </c>
      <c r="G68" s="127" t="e">
        <f>F68-C68-C69-C88-C91-C66-C90</f>
        <v>#REF!</v>
      </c>
      <c r="I68" s="129">
        <f t="shared" ref="I68:I87" si="2">D68-C68</f>
        <v>-16427</v>
      </c>
    </row>
    <row r="69" spans="1:9" x14ac:dyDescent="0.3">
      <c r="A69" s="125" t="s">
        <v>138</v>
      </c>
      <c r="B69" s="134">
        <v>30</v>
      </c>
      <c r="C69" s="161">
        <f>'Баланс UDC'!C69+'Баланс UDC Astana'!C69</f>
        <v>5822</v>
      </c>
      <c r="D69" s="277">
        <v>6658</v>
      </c>
      <c r="E69" s="126"/>
      <c r="I69" s="129">
        <f t="shared" si="2"/>
        <v>836</v>
      </c>
    </row>
    <row r="70" spans="1:9" x14ac:dyDescent="0.3">
      <c r="A70" s="125" t="s">
        <v>52</v>
      </c>
      <c r="B70" s="134" t="s">
        <v>67</v>
      </c>
      <c r="C70" s="159"/>
      <c r="D70" s="159"/>
      <c r="E70" s="130"/>
      <c r="I70" s="129">
        <f t="shared" si="2"/>
        <v>0</v>
      </c>
    </row>
    <row r="71" spans="1:9" x14ac:dyDescent="0.3">
      <c r="A71" s="125" t="s">
        <v>140</v>
      </c>
      <c r="B71" s="138" t="s">
        <v>153</v>
      </c>
      <c r="C71" s="160">
        <f>'Баланс UDC'!C71+'Баланс UDC Astana'!C71</f>
        <v>0</v>
      </c>
      <c r="D71" s="160">
        <v>0</v>
      </c>
      <c r="E71" s="126"/>
      <c r="I71" s="129">
        <f t="shared" si="2"/>
        <v>0</v>
      </c>
    </row>
    <row r="72" spans="1:9" x14ac:dyDescent="0.3">
      <c r="A72" s="139" t="s">
        <v>141</v>
      </c>
      <c r="B72" s="138" t="s">
        <v>155</v>
      </c>
      <c r="C72" s="162">
        <f>'Баланс UDC'!C72+'Баланс UDC Astana'!C72</f>
        <v>827</v>
      </c>
      <c r="D72" s="167">
        <v>0</v>
      </c>
      <c r="E72" s="126"/>
      <c r="I72" s="129">
        <f t="shared" si="2"/>
        <v>-827</v>
      </c>
    </row>
    <row r="73" spans="1:9" x14ac:dyDescent="0.3">
      <c r="A73" s="139" t="s">
        <v>142</v>
      </c>
      <c r="B73" s="138" t="s">
        <v>157</v>
      </c>
      <c r="C73" s="162">
        <f>'Баланс UDC'!C73+'Баланс UDC Astana'!C73</f>
        <v>0</v>
      </c>
      <c r="D73" s="167">
        <v>0</v>
      </c>
      <c r="E73" s="126"/>
      <c r="I73" s="129">
        <f t="shared" si="2"/>
        <v>0</v>
      </c>
    </row>
    <row r="74" spans="1:9" x14ac:dyDescent="0.3">
      <c r="A74" s="139" t="s">
        <v>143</v>
      </c>
      <c r="B74" s="138" t="s">
        <v>159</v>
      </c>
      <c r="C74" s="162">
        <f>'Баланс UDC'!C74+'Баланс UDC Astana'!C74</f>
        <v>0</v>
      </c>
      <c r="D74" s="167">
        <v>0</v>
      </c>
      <c r="E74" s="126"/>
      <c r="I74" s="129">
        <f t="shared" si="2"/>
        <v>0</v>
      </c>
    </row>
    <row r="75" spans="1:9" x14ac:dyDescent="0.3">
      <c r="A75" s="139" t="s">
        <v>144</v>
      </c>
      <c r="B75" s="138" t="s">
        <v>467</v>
      </c>
      <c r="C75" s="162">
        <f>'Баланс UDC'!C75+'Баланс UDC Astana'!C75</f>
        <v>0</v>
      </c>
      <c r="D75" s="167">
        <v>0</v>
      </c>
      <c r="E75" s="126"/>
      <c r="I75" s="129">
        <f t="shared" si="2"/>
        <v>0</v>
      </c>
    </row>
    <row r="76" spans="1:9" x14ac:dyDescent="0.3">
      <c r="A76" s="139" t="s">
        <v>145</v>
      </c>
      <c r="B76" s="138" t="s">
        <v>449</v>
      </c>
      <c r="C76" s="162">
        <f>'Баланс UDC'!C76+'Баланс UDC Astana'!C76</f>
        <v>0</v>
      </c>
      <c r="D76" s="167">
        <v>0</v>
      </c>
      <c r="E76" s="126"/>
      <c r="I76" s="129">
        <f t="shared" si="2"/>
        <v>0</v>
      </c>
    </row>
    <row r="77" spans="1:9" x14ac:dyDescent="0.3">
      <c r="A77" s="139" t="s">
        <v>146</v>
      </c>
      <c r="B77" s="138" t="s">
        <v>450</v>
      </c>
      <c r="C77" s="162">
        <f>'Баланс UDC'!C77+'Баланс UDC Astana'!C77</f>
        <v>3308</v>
      </c>
      <c r="D77" s="167">
        <v>6379</v>
      </c>
      <c r="E77" s="126"/>
      <c r="I77" s="129">
        <f t="shared" si="2"/>
        <v>3071</v>
      </c>
    </row>
    <row r="78" spans="1:9" x14ac:dyDescent="0.3">
      <c r="A78" s="139" t="s">
        <v>147</v>
      </c>
      <c r="B78" s="138" t="s">
        <v>451</v>
      </c>
      <c r="C78" s="162">
        <f>'Баланс UDC'!C78+'Баланс UDC Astana'!C78</f>
        <v>887</v>
      </c>
      <c r="D78" s="167">
        <v>0</v>
      </c>
      <c r="E78" s="126"/>
      <c r="I78" s="129">
        <f t="shared" si="2"/>
        <v>-887</v>
      </c>
    </row>
    <row r="79" spans="1:9" x14ac:dyDescent="0.3">
      <c r="A79" s="139" t="s">
        <v>148</v>
      </c>
      <c r="B79" s="138" t="s">
        <v>452</v>
      </c>
      <c r="C79" s="162">
        <f>'Баланс UDC'!C79+'Баланс UDC Astana'!C79</f>
        <v>0</v>
      </c>
      <c r="D79" s="167"/>
      <c r="E79" s="126"/>
      <c r="I79" s="129">
        <f t="shared" si="2"/>
        <v>0</v>
      </c>
    </row>
    <row r="80" spans="1:9" x14ac:dyDescent="0.3">
      <c r="A80" s="139" t="s">
        <v>149</v>
      </c>
      <c r="B80" s="138" t="s">
        <v>453</v>
      </c>
      <c r="C80" s="162">
        <f>'Баланс UDC'!C80+'Баланс UDC Astana'!C80</f>
        <v>800</v>
      </c>
      <c r="D80" s="167">
        <v>279</v>
      </c>
      <c r="E80" s="126"/>
      <c r="I80" s="129">
        <f t="shared" si="2"/>
        <v>-521</v>
      </c>
    </row>
    <row r="81" spans="1:9" x14ac:dyDescent="0.3">
      <c r="A81" s="139" t="s">
        <v>150</v>
      </c>
      <c r="B81" s="138" t="s">
        <v>454</v>
      </c>
      <c r="C81" s="162">
        <f>'Баланс UDC'!C81+'Баланс UDC Astana'!C81</f>
        <v>0</v>
      </c>
      <c r="D81" s="167">
        <v>0</v>
      </c>
      <c r="E81" s="126"/>
      <c r="I81" s="129">
        <f t="shared" si="2"/>
        <v>0</v>
      </c>
    </row>
    <row r="82" spans="1:9" x14ac:dyDescent="0.3">
      <c r="A82" s="139" t="s">
        <v>116</v>
      </c>
      <c r="B82" s="134">
        <v>31</v>
      </c>
      <c r="C82" s="162">
        <f>'Баланс UDC'!C82+'Баланс UDC Astana'!C82</f>
        <v>0</v>
      </c>
      <c r="D82" s="167">
        <v>0</v>
      </c>
      <c r="E82" s="126"/>
      <c r="I82" s="129">
        <f t="shared" si="2"/>
        <v>0</v>
      </c>
    </row>
    <row r="83" spans="1:9" x14ac:dyDescent="0.3">
      <c r="A83" s="139" t="s">
        <v>52</v>
      </c>
      <c r="B83" s="134" t="s">
        <v>67</v>
      </c>
      <c r="C83" s="163"/>
      <c r="D83" s="165"/>
      <c r="E83" s="130"/>
      <c r="I83" s="129">
        <f t="shared" si="2"/>
        <v>0</v>
      </c>
    </row>
    <row r="84" spans="1:9" x14ac:dyDescent="0.3">
      <c r="A84" s="139" t="s">
        <v>152</v>
      </c>
      <c r="B84" s="134" t="s">
        <v>455</v>
      </c>
      <c r="C84" s="162">
        <f>'Баланс UDC'!C84+'Баланс UDC Astana'!C84</f>
        <v>0</v>
      </c>
      <c r="D84" s="167">
        <v>0</v>
      </c>
      <c r="E84" s="126"/>
      <c r="I84" s="129">
        <f t="shared" si="2"/>
        <v>0</v>
      </c>
    </row>
    <row r="85" spans="1:9" x14ac:dyDescent="0.3">
      <c r="A85" s="139" t="s">
        <v>154</v>
      </c>
      <c r="B85" s="134" t="s">
        <v>456</v>
      </c>
      <c r="C85" s="162">
        <f>'Баланс UDC'!C85+'Баланс UDC Astana'!C85</f>
        <v>0</v>
      </c>
      <c r="D85" s="167">
        <v>0</v>
      </c>
      <c r="E85" s="126"/>
      <c r="I85" s="129">
        <f t="shared" si="2"/>
        <v>0</v>
      </c>
    </row>
    <row r="86" spans="1:9" x14ac:dyDescent="0.3">
      <c r="A86" s="139" t="s">
        <v>156</v>
      </c>
      <c r="B86" s="134" t="s">
        <v>457</v>
      </c>
      <c r="C86" s="162">
        <f>'Баланс UDC'!C86+'Баланс UDC Astana'!C86</f>
        <v>0</v>
      </c>
      <c r="D86" s="167">
        <v>0</v>
      </c>
      <c r="E86" s="126"/>
      <c r="I86" s="129">
        <f t="shared" si="2"/>
        <v>0</v>
      </c>
    </row>
    <row r="87" spans="1:9" x14ac:dyDescent="0.3">
      <c r="A87" s="139" t="s">
        <v>158</v>
      </c>
      <c r="B87" s="134" t="s">
        <v>458</v>
      </c>
      <c r="C87" s="162">
        <f>'Баланс UDC'!C87+'Баланс UDC Astana'!C87</f>
        <v>0</v>
      </c>
      <c r="D87" s="167">
        <v>0</v>
      </c>
      <c r="E87" s="126"/>
      <c r="I87" s="129">
        <f t="shared" si="2"/>
        <v>0</v>
      </c>
    </row>
    <row r="88" spans="1:9" ht="30" x14ac:dyDescent="0.3">
      <c r="A88" s="139" t="s">
        <v>459</v>
      </c>
      <c r="B88" s="134" t="s">
        <v>41</v>
      </c>
      <c r="C88" s="162">
        <f>'Баланс UDC'!C88+'Баланс UDC Astana'!C88</f>
        <v>6861</v>
      </c>
      <c r="D88" s="167">
        <v>17894</v>
      </c>
      <c r="E88" s="126"/>
      <c r="I88" s="129">
        <f>D88-C88</f>
        <v>11033</v>
      </c>
    </row>
    <row r="89" spans="1:9" x14ac:dyDescent="0.3">
      <c r="A89" s="139" t="s">
        <v>42</v>
      </c>
      <c r="B89" s="134" t="s">
        <v>43</v>
      </c>
      <c r="C89" s="162">
        <f>'Баланс UDC'!C89+'Баланс UDC Astana'!C89</f>
        <v>0</v>
      </c>
      <c r="D89" s="167">
        <v>0</v>
      </c>
      <c r="E89" s="126"/>
      <c r="I89" s="129">
        <f>D89-C89</f>
        <v>0</v>
      </c>
    </row>
    <row r="90" spans="1:9" x14ac:dyDescent="0.3">
      <c r="A90" s="139" t="s">
        <v>160</v>
      </c>
      <c r="B90" s="134" t="s">
        <v>45</v>
      </c>
      <c r="C90" s="162">
        <f>'Баланс UDC'!C90+'Баланс UDC Astana'!C90</f>
        <v>0</v>
      </c>
      <c r="D90" s="167">
        <v>0</v>
      </c>
      <c r="E90" s="126"/>
      <c r="I90" s="129">
        <f>D90-C90</f>
        <v>0</v>
      </c>
    </row>
    <row r="91" spans="1:9" x14ac:dyDescent="0.3">
      <c r="A91" s="139" t="s">
        <v>161</v>
      </c>
      <c r="B91" s="134" t="s">
        <v>162</v>
      </c>
      <c r="C91" s="161">
        <f>'Баланс UDC'!C91+'Баланс UDC Astana'!C91</f>
        <v>62</v>
      </c>
      <c r="D91" s="277">
        <v>125</v>
      </c>
      <c r="E91" s="126"/>
      <c r="I91" s="129">
        <f>D91-C91</f>
        <v>63</v>
      </c>
    </row>
    <row r="92" spans="1:9" x14ac:dyDescent="0.3">
      <c r="A92" s="139" t="s">
        <v>460</v>
      </c>
      <c r="B92" s="134" t="s">
        <v>163</v>
      </c>
      <c r="C92" s="164">
        <f>'Баланс UDC'!C92+'Баланс UDC Astana'!C92</f>
        <v>0</v>
      </c>
      <c r="D92" s="278"/>
      <c r="E92" s="126"/>
      <c r="I92" s="129"/>
    </row>
    <row r="93" spans="1:9" x14ac:dyDescent="0.3">
      <c r="A93" s="139" t="s">
        <v>44</v>
      </c>
      <c r="B93" s="134">
        <v>37</v>
      </c>
      <c r="C93" s="161">
        <f>'Баланс UDC'!C93+'Баланс UDC Astana'!C93</f>
        <v>0</v>
      </c>
      <c r="D93" s="277"/>
      <c r="E93" s="126"/>
      <c r="I93" s="129">
        <f>D93-C93</f>
        <v>0</v>
      </c>
    </row>
    <row r="94" spans="1:9" ht="15.75" customHeight="1" x14ac:dyDescent="0.3">
      <c r="A94" s="140" t="s">
        <v>46</v>
      </c>
      <c r="B94" s="136">
        <v>38</v>
      </c>
      <c r="C94" s="158">
        <f>SUM(C62:C69,C82,C88:C93)</f>
        <v>51032</v>
      </c>
      <c r="D94" s="276">
        <v>31945</v>
      </c>
      <c r="E94" s="137"/>
      <c r="I94" s="129"/>
    </row>
    <row r="95" spans="1:9" x14ac:dyDescent="0.3">
      <c r="A95" s="141" t="s">
        <v>47</v>
      </c>
      <c r="B95" s="142" t="s">
        <v>67</v>
      </c>
      <c r="C95" s="165"/>
      <c r="D95" s="165"/>
      <c r="E95" s="130"/>
      <c r="I95" s="129"/>
    </row>
    <row r="96" spans="1:9" x14ac:dyDescent="0.3">
      <c r="A96" s="143" t="s">
        <v>48</v>
      </c>
      <c r="B96" s="142" t="s">
        <v>166</v>
      </c>
      <c r="C96" s="166">
        <f>'Баланс UDC'!C96</f>
        <v>1225200</v>
      </c>
      <c r="D96" s="166">
        <v>1225200</v>
      </c>
      <c r="E96" s="126"/>
      <c r="I96" s="129"/>
    </row>
    <row r="97" spans="1:9" x14ac:dyDescent="0.3">
      <c r="A97" s="143" t="s">
        <v>52</v>
      </c>
      <c r="B97" s="142" t="s">
        <v>67</v>
      </c>
      <c r="C97" s="165"/>
      <c r="D97" s="165"/>
      <c r="E97" s="130"/>
      <c r="I97" s="129"/>
    </row>
    <row r="98" spans="1:9" x14ac:dyDescent="0.3">
      <c r="A98" s="143" t="s">
        <v>164</v>
      </c>
      <c r="B98" s="142" t="s">
        <v>461</v>
      </c>
      <c r="C98" s="166">
        <f>'Баланс UDC'!C98</f>
        <v>1225200</v>
      </c>
      <c r="D98" s="166">
        <v>1225200</v>
      </c>
      <c r="E98" s="126"/>
      <c r="I98" s="129"/>
    </row>
    <row r="99" spans="1:9" x14ac:dyDescent="0.3">
      <c r="A99" s="143" t="s">
        <v>165</v>
      </c>
      <c r="B99" s="142" t="s">
        <v>462</v>
      </c>
      <c r="C99" s="167">
        <f>'Баланс UDC'!C99+'Баланс UDC Astana'!C99</f>
        <v>0</v>
      </c>
      <c r="D99" s="167">
        <v>0</v>
      </c>
      <c r="E99" s="126"/>
      <c r="I99" s="129"/>
    </row>
    <row r="100" spans="1:9" x14ac:dyDescent="0.3">
      <c r="A100" s="143" t="s">
        <v>49</v>
      </c>
      <c r="B100" s="142" t="s">
        <v>167</v>
      </c>
      <c r="C100" s="167">
        <f>'Баланс UDC'!C100+'Баланс UDC Astana'!C100</f>
        <v>0</v>
      </c>
      <c r="D100" s="167">
        <v>0</v>
      </c>
      <c r="E100" s="126"/>
      <c r="I100" s="129"/>
    </row>
    <row r="101" spans="1:9" x14ac:dyDescent="0.3">
      <c r="A101" s="143" t="s">
        <v>50</v>
      </c>
      <c r="B101" s="142" t="s">
        <v>168</v>
      </c>
      <c r="C101" s="167">
        <f>'Баланс UDC'!C101+'Баланс UDC Astana'!C101</f>
        <v>0</v>
      </c>
      <c r="D101" s="167">
        <v>0</v>
      </c>
      <c r="E101" s="126"/>
      <c r="I101" s="129"/>
    </row>
    <row r="102" spans="1:9" x14ac:dyDescent="0.3">
      <c r="A102" s="94" t="s">
        <v>51</v>
      </c>
      <c r="B102" s="142" t="s">
        <v>169</v>
      </c>
      <c r="C102" s="167">
        <f>'Баланс UDC'!C102+'Баланс UDC Astana'!C102</f>
        <v>0</v>
      </c>
      <c r="D102" s="167">
        <v>0</v>
      </c>
      <c r="E102" s="126"/>
      <c r="I102" s="129"/>
    </row>
    <row r="103" spans="1:9" ht="30" x14ac:dyDescent="0.3">
      <c r="A103" s="144" t="s">
        <v>463</v>
      </c>
      <c r="B103" s="145" t="s">
        <v>170</v>
      </c>
      <c r="C103" s="168">
        <f>'Баланс UDC'!C103+'Баланс UDC Astana'!C103</f>
        <v>-339</v>
      </c>
      <c r="D103" s="167">
        <v>0</v>
      </c>
      <c r="E103" s="126"/>
      <c r="I103" s="129">
        <f>C103-D103</f>
        <v>-339</v>
      </c>
    </row>
    <row r="104" spans="1:9" ht="30" x14ac:dyDescent="0.3">
      <c r="A104" s="144" t="s">
        <v>464</v>
      </c>
      <c r="B104" s="145" t="s">
        <v>171</v>
      </c>
      <c r="C104" s="168">
        <f>'Баланс UDC'!C104+'Баланс UDC Astana'!C104</f>
        <v>0</v>
      </c>
      <c r="D104" s="168">
        <v>0</v>
      </c>
      <c r="E104" s="126"/>
    </row>
    <row r="105" spans="1:9" x14ac:dyDescent="0.3">
      <c r="A105" s="144" t="s">
        <v>465</v>
      </c>
      <c r="B105" s="145" t="s">
        <v>466</v>
      </c>
      <c r="C105" s="168">
        <f>'Баланс UDC'!C105+'Баланс UDC Astana'!C105</f>
        <v>0</v>
      </c>
      <c r="D105" s="168">
        <v>0</v>
      </c>
      <c r="E105" s="126"/>
    </row>
    <row r="106" spans="1:9" x14ac:dyDescent="0.3">
      <c r="A106" s="144" t="s">
        <v>533</v>
      </c>
      <c r="B106" s="145" t="s">
        <v>534</v>
      </c>
      <c r="C106" s="168">
        <f>'Баланс UDC'!C106+'Баланс UDC Astana'!C106</f>
        <v>0</v>
      </c>
      <c r="D106" s="168"/>
      <c r="E106" s="126"/>
    </row>
    <row r="107" spans="1:9" x14ac:dyDescent="0.3">
      <c r="A107" s="144" t="s">
        <v>535</v>
      </c>
      <c r="B107" s="145" t="s">
        <v>536</v>
      </c>
      <c r="C107" s="168">
        <f>'Баланс UDC'!C107+'Баланс UDC Astana'!C107</f>
        <v>67060</v>
      </c>
      <c r="D107" s="168">
        <v>56893</v>
      </c>
      <c r="E107" s="126"/>
    </row>
    <row r="108" spans="1:9" x14ac:dyDescent="0.3">
      <c r="A108" s="144" t="s">
        <v>52</v>
      </c>
      <c r="B108" s="145" t="s">
        <v>67</v>
      </c>
      <c r="C108" s="169"/>
      <c r="D108" s="169"/>
      <c r="E108" s="130"/>
    </row>
    <row r="109" spans="1:9" x14ac:dyDescent="0.3">
      <c r="A109" s="144" t="s">
        <v>537</v>
      </c>
      <c r="B109" s="145" t="s">
        <v>538</v>
      </c>
      <c r="C109" s="168">
        <f>'Баланс UDC'!C109+'Баланс UDC Astana'!C109</f>
        <v>4802</v>
      </c>
      <c r="D109" s="168">
        <v>0</v>
      </c>
      <c r="E109" s="126"/>
    </row>
    <row r="110" spans="1:9" x14ac:dyDescent="0.3">
      <c r="A110" s="144" t="s">
        <v>539</v>
      </c>
      <c r="B110" s="145" t="s">
        <v>540</v>
      </c>
      <c r="C110" s="168">
        <f>'Баланс UDC'!C110+'Баланс UDC Astana'!C110</f>
        <v>62258</v>
      </c>
      <c r="D110" s="168">
        <v>56893</v>
      </c>
      <c r="E110" s="126"/>
      <c r="F110" s="127">
        <f>'ОПУ UDC'!D109</f>
        <v>62096</v>
      </c>
      <c r="G110" s="127">
        <f>F110-C110</f>
        <v>-162</v>
      </c>
    </row>
    <row r="111" spans="1:9" x14ac:dyDescent="0.3">
      <c r="A111" s="146" t="s">
        <v>541</v>
      </c>
      <c r="B111" s="147" t="s">
        <v>542</v>
      </c>
      <c r="C111" s="170">
        <f>C96+C100+C101+C103+C106+C107</f>
        <v>1291921</v>
      </c>
      <c r="D111" s="170">
        <v>1282093</v>
      </c>
      <c r="E111" s="137"/>
    </row>
    <row r="112" spans="1:9" x14ac:dyDescent="0.3">
      <c r="A112" s="148" t="s">
        <v>543</v>
      </c>
      <c r="B112" s="147" t="s">
        <v>544</v>
      </c>
      <c r="C112" s="170">
        <f>C94+C111</f>
        <v>1342953</v>
      </c>
      <c r="D112" s="170">
        <v>1314038</v>
      </c>
      <c r="E112" s="137"/>
    </row>
    <row r="113" spans="1:9" x14ac:dyDescent="0.3">
      <c r="C113" s="149" t="e">
        <f>C60-C112</f>
        <v>#REF!</v>
      </c>
      <c r="D113" s="149"/>
      <c r="E113" s="150"/>
    </row>
    <row r="114" spans="1:9" x14ac:dyDescent="0.3">
      <c r="A114" s="95" t="s">
        <v>257</v>
      </c>
      <c r="C114" s="96"/>
      <c r="D114" s="96"/>
    </row>
    <row r="115" spans="1:9" ht="36" customHeight="1" x14ac:dyDescent="0.3">
      <c r="A115" s="404" t="s">
        <v>710</v>
      </c>
      <c r="B115" s="405"/>
      <c r="C115" s="405"/>
      <c r="D115" s="405"/>
      <c r="E115" s="93"/>
    </row>
    <row r="117" spans="1:9" ht="18" x14ac:dyDescent="0.35">
      <c r="A117" s="76" t="s">
        <v>430</v>
      </c>
      <c r="B117" s="78" t="s">
        <v>493</v>
      </c>
      <c r="C117" s="79"/>
      <c r="D117" s="80"/>
      <c r="E117" s="80"/>
      <c r="F117" s="91"/>
      <c r="G117" s="92"/>
    </row>
    <row r="118" spans="1:9" ht="18" x14ac:dyDescent="0.35">
      <c r="A118" s="76" t="s">
        <v>431</v>
      </c>
      <c r="B118" s="78" t="s">
        <v>545</v>
      </c>
      <c r="C118" s="79"/>
      <c r="D118" s="80"/>
      <c r="E118" s="80"/>
      <c r="F118" s="91"/>
      <c r="G118" s="92"/>
    </row>
    <row r="119" spans="1:9" ht="18" x14ac:dyDescent="0.35">
      <c r="A119" s="76" t="s">
        <v>432</v>
      </c>
      <c r="B119" s="78" t="s">
        <v>523</v>
      </c>
      <c r="C119" s="79"/>
      <c r="D119" s="80"/>
      <c r="E119" s="80"/>
      <c r="F119" s="91"/>
      <c r="G119" s="92"/>
    </row>
    <row r="120" spans="1:9" ht="18" x14ac:dyDescent="0.35">
      <c r="A120" s="76" t="s">
        <v>433</v>
      </c>
      <c r="B120" s="82" t="s">
        <v>496</v>
      </c>
      <c r="C120" s="79"/>
      <c r="D120" s="80"/>
      <c r="E120" s="80"/>
      <c r="F120" s="91"/>
      <c r="G120" s="92"/>
    </row>
    <row r="121" spans="1:9" x14ac:dyDescent="0.3">
      <c r="A121" s="83"/>
      <c r="B121" s="77"/>
      <c r="C121" s="77"/>
      <c r="D121" s="77"/>
      <c r="E121" s="77"/>
      <c r="F121" s="77"/>
      <c r="G121" s="77"/>
    </row>
    <row r="122" spans="1:9" ht="30" x14ac:dyDescent="0.3">
      <c r="A122" s="76" t="s">
        <v>256</v>
      </c>
      <c r="B122" s="90" t="s">
        <v>328</v>
      </c>
      <c r="C122" s="84"/>
      <c r="D122" s="85"/>
      <c r="E122" s="85"/>
      <c r="F122" s="76"/>
      <c r="G122" s="91"/>
      <c r="H122" s="103"/>
      <c r="I122" s="91"/>
    </row>
    <row r="123" spans="1:9" ht="18" x14ac:dyDescent="0.35">
      <c r="A123" s="85"/>
      <c r="B123" s="260"/>
      <c r="C123" s="85"/>
      <c r="D123" s="85"/>
      <c r="E123" s="85"/>
      <c r="F123" s="151"/>
      <c r="G123" s="91"/>
      <c r="H123" s="103"/>
      <c r="I123" s="91"/>
    </row>
    <row r="124" spans="1:9" ht="30.75" x14ac:dyDescent="0.35">
      <c r="A124" s="90" t="s">
        <v>434</v>
      </c>
      <c r="B124" s="90" t="str">
        <f>B122</f>
        <v>Старикова-Тлеухан М.В.</v>
      </c>
      <c r="C124" s="84"/>
      <c r="D124" s="86" t="s">
        <v>524</v>
      </c>
      <c r="E124" s="102"/>
      <c r="F124" s="151"/>
      <c r="G124" s="91"/>
      <c r="H124" s="103"/>
      <c r="I124" s="91"/>
    </row>
    <row r="125" spans="1:9" ht="18" x14ac:dyDescent="0.35">
      <c r="A125" s="87"/>
      <c r="B125" s="76"/>
      <c r="C125" s="85"/>
      <c r="D125" s="76"/>
      <c r="E125" s="102"/>
      <c r="F125" s="151"/>
      <c r="G125" s="91"/>
      <c r="H125" s="103"/>
      <c r="I125" s="91"/>
    </row>
    <row r="126" spans="1:9" ht="18" x14ac:dyDescent="0.35">
      <c r="A126" s="90" t="s">
        <v>435</v>
      </c>
      <c r="B126" s="86" t="s">
        <v>494</v>
      </c>
      <c r="C126" s="84"/>
      <c r="D126" s="152" t="s">
        <v>523</v>
      </c>
      <c r="E126" s="102"/>
      <c r="F126" s="151"/>
      <c r="G126" s="91"/>
      <c r="H126" s="103"/>
      <c r="I126" s="91"/>
    </row>
    <row r="127" spans="1:9" x14ac:dyDescent="0.3">
      <c r="A127" s="28"/>
      <c r="B127" s="28"/>
      <c r="C127" s="28"/>
      <c r="D127" s="28"/>
      <c r="E127" s="28"/>
      <c r="F127" s="28"/>
      <c r="G127" s="28"/>
    </row>
    <row r="128" spans="1:9" x14ac:dyDescent="0.3">
      <c r="A128" s="88" t="s">
        <v>505</v>
      </c>
      <c r="B128" s="98">
        <v>45300</v>
      </c>
      <c r="C128" s="97" t="s">
        <v>9</v>
      </c>
      <c r="D128" s="28"/>
      <c r="E128" s="28"/>
      <c r="F128" s="28"/>
      <c r="G128" s="28"/>
    </row>
    <row r="129" spans="1:7" x14ac:dyDescent="0.3">
      <c r="A129" s="81"/>
      <c r="B129" s="81"/>
      <c r="C129" s="28"/>
      <c r="D129" s="28"/>
      <c r="E129" s="28"/>
      <c r="F129" s="28"/>
      <c r="G129" s="28"/>
    </row>
    <row r="130" spans="1:7" x14ac:dyDescent="0.3">
      <c r="B130" s="81"/>
      <c r="C130" s="28"/>
      <c r="D130" s="28"/>
      <c r="E130" s="28"/>
      <c r="F130" s="28"/>
      <c r="G130" s="28"/>
    </row>
  </sheetData>
  <mergeCells count="5">
    <mergeCell ref="C1:D1"/>
    <mergeCell ref="A2:D2"/>
    <mergeCell ref="A3:D3"/>
    <mergeCell ref="F6:G6"/>
    <mergeCell ref="A115:D115"/>
  </mergeCells>
  <hyperlinks>
    <hyperlink ref="B120" r:id="rId1" xr:uid="{A4F2FA6E-DE0C-4E33-9EC1-E684834D7E81}"/>
  </hyperlinks>
  <pageMargins left="0.98425196850393704" right="0.51181102362204722" top="0.74803149606299213" bottom="0.74803149606299213" header="0.31496062992125984" footer="0.31496062992125984"/>
  <pageSetup scale="62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5B3A-FA41-4F92-8E66-66E6AA4E602C}">
  <sheetPr>
    <pageSetUpPr fitToPage="1"/>
  </sheetPr>
  <dimension ref="A1:AB130"/>
  <sheetViews>
    <sheetView topLeftCell="A100" zoomScale="90" zoomScaleNormal="90" zoomScaleSheetLayoutView="90" workbookViewId="0">
      <selection activeCell="D124" sqref="D124:D126"/>
    </sheetView>
  </sheetViews>
  <sheetFormatPr defaultRowHeight="15" outlineLevelCol="1" x14ac:dyDescent="0.3"/>
  <cols>
    <col min="1" max="1" width="85.140625" style="91" customWidth="1"/>
    <col min="2" max="2" width="14.28515625" style="91" customWidth="1"/>
    <col min="3" max="3" width="18.7109375" style="91" customWidth="1"/>
    <col min="4" max="4" width="19.5703125" style="91" customWidth="1"/>
    <col min="5" max="5" width="4.140625" style="91" customWidth="1"/>
    <col min="6" max="6" width="8.5703125" style="102" hidden="1" customWidth="1" outlineLevel="1"/>
    <col min="7" max="7" width="10.5703125" style="102" hidden="1" customWidth="1" outlineLevel="1"/>
    <col min="8" max="8" width="2.42578125" style="91" customWidth="1" collapsed="1"/>
    <col min="9" max="9" width="8.85546875" style="103" hidden="1" customWidth="1" outlineLevel="1"/>
    <col min="10" max="10" width="10.42578125" style="91" bestFit="1" customWidth="1" collapsed="1"/>
    <col min="11" max="13" width="9.140625" style="91"/>
    <col min="14" max="14" width="52.42578125" style="91" bestFit="1" customWidth="1"/>
    <col min="15" max="15" width="9.85546875" style="91" hidden="1" customWidth="1"/>
    <col min="16" max="16" width="7" style="91" hidden="1" customWidth="1"/>
    <col min="17" max="18" width="14.85546875" style="91" bestFit="1" customWidth="1"/>
    <col min="19" max="20" width="13.5703125" style="91" bestFit="1" customWidth="1"/>
    <col min="21" max="21" width="9.140625" style="91"/>
    <col min="22" max="22" width="29.5703125" style="91" customWidth="1"/>
    <col min="23" max="231" width="9.140625" style="91"/>
    <col min="232" max="232" width="59.85546875" style="91" customWidth="1"/>
    <col min="233" max="233" width="12.140625" style="91" customWidth="1"/>
    <col min="234" max="234" width="15.85546875" style="91" customWidth="1"/>
    <col min="235" max="235" width="17.7109375" style="91" customWidth="1"/>
    <col min="236" max="236" width="19" style="91" customWidth="1"/>
    <col min="237" max="237" width="13.5703125" style="91" customWidth="1"/>
    <col min="238" max="238" width="12" style="91" customWidth="1"/>
    <col min="239" max="487" width="9.140625" style="91"/>
    <col min="488" max="488" width="59.85546875" style="91" customWidth="1"/>
    <col min="489" max="489" width="12.140625" style="91" customWidth="1"/>
    <col min="490" max="490" width="15.85546875" style="91" customWidth="1"/>
    <col min="491" max="491" width="17.7109375" style="91" customWidth="1"/>
    <col min="492" max="492" width="19" style="91" customWidth="1"/>
    <col min="493" max="493" width="13.5703125" style="91" customWidth="1"/>
    <col min="494" max="494" width="12" style="91" customWidth="1"/>
    <col min="495" max="743" width="9.140625" style="91"/>
    <col min="744" max="744" width="59.85546875" style="91" customWidth="1"/>
    <col min="745" max="745" width="12.140625" style="91" customWidth="1"/>
    <col min="746" max="746" width="15.85546875" style="91" customWidth="1"/>
    <col min="747" max="747" width="17.7109375" style="91" customWidth="1"/>
    <col min="748" max="748" width="19" style="91" customWidth="1"/>
    <col min="749" max="749" width="13.5703125" style="91" customWidth="1"/>
    <col min="750" max="750" width="12" style="91" customWidth="1"/>
    <col min="751" max="999" width="9.140625" style="91"/>
    <col min="1000" max="1000" width="59.85546875" style="91" customWidth="1"/>
    <col min="1001" max="1001" width="12.140625" style="91" customWidth="1"/>
    <col min="1002" max="1002" width="15.85546875" style="91" customWidth="1"/>
    <col min="1003" max="1003" width="17.7109375" style="91" customWidth="1"/>
    <col min="1004" max="1004" width="19" style="91" customWidth="1"/>
    <col min="1005" max="1005" width="13.5703125" style="91" customWidth="1"/>
    <col min="1006" max="1006" width="12" style="91" customWidth="1"/>
    <col min="1007" max="1255" width="9.140625" style="91"/>
    <col min="1256" max="1256" width="59.85546875" style="91" customWidth="1"/>
    <col min="1257" max="1257" width="12.140625" style="91" customWidth="1"/>
    <col min="1258" max="1258" width="15.85546875" style="91" customWidth="1"/>
    <col min="1259" max="1259" width="17.7109375" style="91" customWidth="1"/>
    <col min="1260" max="1260" width="19" style="91" customWidth="1"/>
    <col min="1261" max="1261" width="13.5703125" style="91" customWidth="1"/>
    <col min="1262" max="1262" width="12" style="91" customWidth="1"/>
    <col min="1263" max="1511" width="9.140625" style="91"/>
    <col min="1512" max="1512" width="59.85546875" style="91" customWidth="1"/>
    <col min="1513" max="1513" width="12.140625" style="91" customWidth="1"/>
    <col min="1514" max="1514" width="15.85546875" style="91" customWidth="1"/>
    <col min="1515" max="1515" width="17.7109375" style="91" customWidth="1"/>
    <col min="1516" max="1516" width="19" style="91" customWidth="1"/>
    <col min="1517" max="1517" width="13.5703125" style="91" customWidth="1"/>
    <col min="1518" max="1518" width="12" style="91" customWidth="1"/>
    <col min="1519" max="1767" width="9.140625" style="91"/>
    <col min="1768" max="1768" width="59.85546875" style="91" customWidth="1"/>
    <col min="1769" max="1769" width="12.140625" style="91" customWidth="1"/>
    <col min="1770" max="1770" width="15.85546875" style="91" customWidth="1"/>
    <col min="1771" max="1771" width="17.7109375" style="91" customWidth="1"/>
    <col min="1772" max="1772" width="19" style="91" customWidth="1"/>
    <col min="1773" max="1773" width="13.5703125" style="91" customWidth="1"/>
    <col min="1774" max="1774" width="12" style="91" customWidth="1"/>
    <col min="1775" max="2023" width="9.140625" style="91"/>
    <col min="2024" max="2024" width="59.85546875" style="91" customWidth="1"/>
    <col min="2025" max="2025" width="12.140625" style="91" customWidth="1"/>
    <col min="2026" max="2026" width="15.85546875" style="91" customWidth="1"/>
    <col min="2027" max="2027" width="17.7109375" style="91" customWidth="1"/>
    <col min="2028" max="2028" width="19" style="91" customWidth="1"/>
    <col min="2029" max="2029" width="13.5703125" style="91" customWidth="1"/>
    <col min="2030" max="2030" width="12" style="91" customWidth="1"/>
    <col min="2031" max="2279" width="9.140625" style="91"/>
    <col min="2280" max="2280" width="59.85546875" style="91" customWidth="1"/>
    <col min="2281" max="2281" width="12.140625" style="91" customWidth="1"/>
    <col min="2282" max="2282" width="15.85546875" style="91" customWidth="1"/>
    <col min="2283" max="2283" width="17.7109375" style="91" customWidth="1"/>
    <col min="2284" max="2284" width="19" style="91" customWidth="1"/>
    <col min="2285" max="2285" width="13.5703125" style="91" customWidth="1"/>
    <col min="2286" max="2286" width="12" style="91" customWidth="1"/>
    <col min="2287" max="2535" width="9.140625" style="91"/>
    <col min="2536" max="2536" width="59.85546875" style="91" customWidth="1"/>
    <col min="2537" max="2537" width="12.140625" style="91" customWidth="1"/>
    <col min="2538" max="2538" width="15.85546875" style="91" customWidth="1"/>
    <col min="2539" max="2539" width="17.7109375" style="91" customWidth="1"/>
    <col min="2540" max="2540" width="19" style="91" customWidth="1"/>
    <col min="2541" max="2541" width="13.5703125" style="91" customWidth="1"/>
    <col min="2542" max="2542" width="12" style="91" customWidth="1"/>
    <col min="2543" max="2791" width="9.140625" style="91"/>
    <col min="2792" max="2792" width="59.85546875" style="91" customWidth="1"/>
    <col min="2793" max="2793" width="12.140625" style="91" customWidth="1"/>
    <col min="2794" max="2794" width="15.85546875" style="91" customWidth="1"/>
    <col min="2795" max="2795" width="17.7109375" style="91" customWidth="1"/>
    <col min="2796" max="2796" width="19" style="91" customWidth="1"/>
    <col min="2797" max="2797" width="13.5703125" style="91" customWidth="1"/>
    <col min="2798" max="2798" width="12" style="91" customWidth="1"/>
    <col min="2799" max="3047" width="9.140625" style="91"/>
    <col min="3048" max="3048" width="59.85546875" style="91" customWidth="1"/>
    <col min="3049" max="3049" width="12.140625" style="91" customWidth="1"/>
    <col min="3050" max="3050" width="15.85546875" style="91" customWidth="1"/>
    <col min="3051" max="3051" width="17.7109375" style="91" customWidth="1"/>
    <col min="3052" max="3052" width="19" style="91" customWidth="1"/>
    <col min="3053" max="3053" width="13.5703125" style="91" customWidth="1"/>
    <col min="3054" max="3054" width="12" style="91" customWidth="1"/>
    <col min="3055" max="3303" width="9.140625" style="91"/>
    <col min="3304" max="3304" width="59.85546875" style="91" customWidth="1"/>
    <col min="3305" max="3305" width="12.140625" style="91" customWidth="1"/>
    <col min="3306" max="3306" width="15.85546875" style="91" customWidth="1"/>
    <col min="3307" max="3307" width="17.7109375" style="91" customWidth="1"/>
    <col min="3308" max="3308" width="19" style="91" customWidth="1"/>
    <col min="3309" max="3309" width="13.5703125" style="91" customWidth="1"/>
    <col min="3310" max="3310" width="12" style="91" customWidth="1"/>
    <col min="3311" max="3559" width="9.140625" style="91"/>
    <col min="3560" max="3560" width="59.85546875" style="91" customWidth="1"/>
    <col min="3561" max="3561" width="12.140625" style="91" customWidth="1"/>
    <col min="3562" max="3562" width="15.85546875" style="91" customWidth="1"/>
    <col min="3563" max="3563" width="17.7109375" style="91" customWidth="1"/>
    <col min="3564" max="3564" width="19" style="91" customWidth="1"/>
    <col min="3565" max="3565" width="13.5703125" style="91" customWidth="1"/>
    <col min="3566" max="3566" width="12" style="91" customWidth="1"/>
    <col min="3567" max="3815" width="9.140625" style="91"/>
    <col min="3816" max="3816" width="59.85546875" style="91" customWidth="1"/>
    <col min="3817" max="3817" width="12.140625" style="91" customWidth="1"/>
    <col min="3818" max="3818" width="15.85546875" style="91" customWidth="1"/>
    <col min="3819" max="3819" width="17.7109375" style="91" customWidth="1"/>
    <col min="3820" max="3820" width="19" style="91" customWidth="1"/>
    <col min="3821" max="3821" width="13.5703125" style="91" customWidth="1"/>
    <col min="3822" max="3822" width="12" style="91" customWidth="1"/>
    <col min="3823" max="4071" width="9.140625" style="91"/>
    <col min="4072" max="4072" width="59.85546875" style="91" customWidth="1"/>
    <col min="4073" max="4073" width="12.140625" style="91" customWidth="1"/>
    <col min="4074" max="4074" width="15.85546875" style="91" customWidth="1"/>
    <col min="4075" max="4075" width="17.7109375" style="91" customWidth="1"/>
    <col min="4076" max="4076" width="19" style="91" customWidth="1"/>
    <col min="4077" max="4077" width="13.5703125" style="91" customWidth="1"/>
    <col min="4078" max="4078" width="12" style="91" customWidth="1"/>
    <col min="4079" max="4327" width="9.140625" style="91"/>
    <col min="4328" max="4328" width="59.85546875" style="91" customWidth="1"/>
    <col min="4329" max="4329" width="12.140625" style="91" customWidth="1"/>
    <col min="4330" max="4330" width="15.85546875" style="91" customWidth="1"/>
    <col min="4331" max="4331" width="17.7109375" style="91" customWidth="1"/>
    <col min="4332" max="4332" width="19" style="91" customWidth="1"/>
    <col min="4333" max="4333" width="13.5703125" style="91" customWidth="1"/>
    <col min="4334" max="4334" width="12" style="91" customWidth="1"/>
    <col min="4335" max="4583" width="9.140625" style="91"/>
    <col min="4584" max="4584" width="59.85546875" style="91" customWidth="1"/>
    <col min="4585" max="4585" width="12.140625" style="91" customWidth="1"/>
    <col min="4586" max="4586" width="15.85546875" style="91" customWidth="1"/>
    <col min="4587" max="4587" width="17.7109375" style="91" customWidth="1"/>
    <col min="4588" max="4588" width="19" style="91" customWidth="1"/>
    <col min="4589" max="4589" width="13.5703125" style="91" customWidth="1"/>
    <col min="4590" max="4590" width="12" style="91" customWidth="1"/>
    <col min="4591" max="4839" width="9.140625" style="91"/>
    <col min="4840" max="4840" width="59.85546875" style="91" customWidth="1"/>
    <col min="4841" max="4841" width="12.140625" style="91" customWidth="1"/>
    <col min="4842" max="4842" width="15.85546875" style="91" customWidth="1"/>
    <col min="4843" max="4843" width="17.7109375" style="91" customWidth="1"/>
    <col min="4844" max="4844" width="19" style="91" customWidth="1"/>
    <col min="4845" max="4845" width="13.5703125" style="91" customWidth="1"/>
    <col min="4846" max="4846" width="12" style="91" customWidth="1"/>
    <col min="4847" max="5095" width="9.140625" style="91"/>
    <col min="5096" max="5096" width="59.85546875" style="91" customWidth="1"/>
    <col min="5097" max="5097" width="12.140625" style="91" customWidth="1"/>
    <col min="5098" max="5098" width="15.85546875" style="91" customWidth="1"/>
    <col min="5099" max="5099" width="17.7109375" style="91" customWidth="1"/>
    <col min="5100" max="5100" width="19" style="91" customWidth="1"/>
    <col min="5101" max="5101" width="13.5703125" style="91" customWidth="1"/>
    <col min="5102" max="5102" width="12" style="91" customWidth="1"/>
    <col min="5103" max="5351" width="9.140625" style="91"/>
    <col min="5352" max="5352" width="59.85546875" style="91" customWidth="1"/>
    <col min="5353" max="5353" width="12.140625" style="91" customWidth="1"/>
    <col min="5354" max="5354" width="15.85546875" style="91" customWidth="1"/>
    <col min="5355" max="5355" width="17.7109375" style="91" customWidth="1"/>
    <col min="5356" max="5356" width="19" style="91" customWidth="1"/>
    <col min="5357" max="5357" width="13.5703125" style="91" customWidth="1"/>
    <col min="5358" max="5358" width="12" style="91" customWidth="1"/>
    <col min="5359" max="5607" width="9.140625" style="91"/>
    <col min="5608" max="5608" width="59.85546875" style="91" customWidth="1"/>
    <col min="5609" max="5609" width="12.140625" style="91" customWidth="1"/>
    <col min="5610" max="5610" width="15.85546875" style="91" customWidth="1"/>
    <col min="5611" max="5611" width="17.7109375" style="91" customWidth="1"/>
    <col min="5612" max="5612" width="19" style="91" customWidth="1"/>
    <col min="5613" max="5613" width="13.5703125" style="91" customWidth="1"/>
    <col min="5614" max="5614" width="12" style="91" customWidth="1"/>
    <col min="5615" max="5863" width="9.140625" style="91"/>
    <col min="5864" max="5864" width="59.85546875" style="91" customWidth="1"/>
    <col min="5865" max="5865" width="12.140625" style="91" customWidth="1"/>
    <col min="5866" max="5866" width="15.85546875" style="91" customWidth="1"/>
    <col min="5867" max="5867" width="17.7109375" style="91" customWidth="1"/>
    <col min="5868" max="5868" width="19" style="91" customWidth="1"/>
    <col min="5869" max="5869" width="13.5703125" style="91" customWidth="1"/>
    <col min="5870" max="5870" width="12" style="91" customWidth="1"/>
    <col min="5871" max="6119" width="9.140625" style="91"/>
    <col min="6120" max="6120" width="59.85546875" style="91" customWidth="1"/>
    <col min="6121" max="6121" width="12.140625" style="91" customWidth="1"/>
    <col min="6122" max="6122" width="15.85546875" style="91" customWidth="1"/>
    <col min="6123" max="6123" width="17.7109375" style="91" customWidth="1"/>
    <col min="6124" max="6124" width="19" style="91" customWidth="1"/>
    <col min="6125" max="6125" width="13.5703125" style="91" customWidth="1"/>
    <col min="6126" max="6126" width="12" style="91" customWidth="1"/>
    <col min="6127" max="6375" width="9.140625" style="91"/>
    <col min="6376" max="6376" width="59.85546875" style="91" customWidth="1"/>
    <col min="6377" max="6377" width="12.140625" style="91" customWidth="1"/>
    <col min="6378" max="6378" width="15.85546875" style="91" customWidth="1"/>
    <col min="6379" max="6379" width="17.7109375" style="91" customWidth="1"/>
    <col min="6380" max="6380" width="19" style="91" customWidth="1"/>
    <col min="6381" max="6381" width="13.5703125" style="91" customWidth="1"/>
    <col min="6382" max="6382" width="12" style="91" customWidth="1"/>
    <col min="6383" max="6631" width="9.140625" style="91"/>
    <col min="6632" max="6632" width="59.85546875" style="91" customWidth="1"/>
    <col min="6633" max="6633" width="12.140625" style="91" customWidth="1"/>
    <col min="6634" max="6634" width="15.85546875" style="91" customWidth="1"/>
    <col min="6635" max="6635" width="17.7109375" style="91" customWidth="1"/>
    <col min="6636" max="6636" width="19" style="91" customWidth="1"/>
    <col min="6637" max="6637" width="13.5703125" style="91" customWidth="1"/>
    <col min="6638" max="6638" width="12" style="91" customWidth="1"/>
    <col min="6639" max="6887" width="9.140625" style="91"/>
    <col min="6888" max="6888" width="59.85546875" style="91" customWidth="1"/>
    <col min="6889" max="6889" width="12.140625" style="91" customWidth="1"/>
    <col min="6890" max="6890" width="15.85546875" style="91" customWidth="1"/>
    <col min="6891" max="6891" width="17.7109375" style="91" customWidth="1"/>
    <col min="6892" max="6892" width="19" style="91" customWidth="1"/>
    <col min="6893" max="6893" width="13.5703125" style="91" customWidth="1"/>
    <col min="6894" max="6894" width="12" style="91" customWidth="1"/>
    <col min="6895" max="7143" width="9.140625" style="91"/>
    <col min="7144" max="7144" width="59.85546875" style="91" customWidth="1"/>
    <col min="7145" max="7145" width="12.140625" style="91" customWidth="1"/>
    <col min="7146" max="7146" width="15.85546875" style="91" customWidth="1"/>
    <col min="7147" max="7147" width="17.7109375" style="91" customWidth="1"/>
    <col min="7148" max="7148" width="19" style="91" customWidth="1"/>
    <col min="7149" max="7149" width="13.5703125" style="91" customWidth="1"/>
    <col min="7150" max="7150" width="12" style="91" customWidth="1"/>
    <col min="7151" max="7399" width="9.140625" style="91"/>
    <col min="7400" max="7400" width="59.85546875" style="91" customWidth="1"/>
    <col min="7401" max="7401" width="12.140625" style="91" customWidth="1"/>
    <col min="7402" max="7402" width="15.85546875" style="91" customWidth="1"/>
    <col min="7403" max="7403" width="17.7109375" style="91" customWidth="1"/>
    <col min="7404" max="7404" width="19" style="91" customWidth="1"/>
    <col min="7405" max="7405" width="13.5703125" style="91" customWidth="1"/>
    <col min="7406" max="7406" width="12" style="91" customWidth="1"/>
    <col min="7407" max="7655" width="9.140625" style="91"/>
    <col min="7656" max="7656" width="59.85546875" style="91" customWidth="1"/>
    <col min="7657" max="7657" width="12.140625" style="91" customWidth="1"/>
    <col min="7658" max="7658" width="15.85546875" style="91" customWidth="1"/>
    <col min="7659" max="7659" width="17.7109375" style="91" customWidth="1"/>
    <col min="7660" max="7660" width="19" style="91" customWidth="1"/>
    <col min="7661" max="7661" width="13.5703125" style="91" customWidth="1"/>
    <col min="7662" max="7662" width="12" style="91" customWidth="1"/>
    <col min="7663" max="7911" width="9.140625" style="91"/>
    <col min="7912" max="7912" width="59.85546875" style="91" customWidth="1"/>
    <col min="7913" max="7913" width="12.140625" style="91" customWidth="1"/>
    <col min="7914" max="7914" width="15.85546875" style="91" customWidth="1"/>
    <col min="7915" max="7915" width="17.7109375" style="91" customWidth="1"/>
    <col min="7916" max="7916" width="19" style="91" customWidth="1"/>
    <col min="7917" max="7917" width="13.5703125" style="91" customWidth="1"/>
    <col min="7918" max="7918" width="12" style="91" customWidth="1"/>
    <col min="7919" max="8167" width="9.140625" style="91"/>
    <col min="8168" max="8168" width="59.85546875" style="91" customWidth="1"/>
    <col min="8169" max="8169" width="12.140625" style="91" customWidth="1"/>
    <col min="8170" max="8170" width="15.85546875" style="91" customWidth="1"/>
    <col min="8171" max="8171" width="17.7109375" style="91" customWidth="1"/>
    <col min="8172" max="8172" width="19" style="91" customWidth="1"/>
    <col min="8173" max="8173" width="13.5703125" style="91" customWidth="1"/>
    <col min="8174" max="8174" width="12" style="91" customWidth="1"/>
    <col min="8175" max="8423" width="9.140625" style="91"/>
    <col min="8424" max="8424" width="59.85546875" style="91" customWidth="1"/>
    <col min="8425" max="8425" width="12.140625" style="91" customWidth="1"/>
    <col min="8426" max="8426" width="15.85546875" style="91" customWidth="1"/>
    <col min="8427" max="8427" width="17.7109375" style="91" customWidth="1"/>
    <col min="8428" max="8428" width="19" style="91" customWidth="1"/>
    <col min="8429" max="8429" width="13.5703125" style="91" customWidth="1"/>
    <col min="8430" max="8430" width="12" style="91" customWidth="1"/>
    <col min="8431" max="8679" width="9.140625" style="91"/>
    <col min="8680" max="8680" width="59.85546875" style="91" customWidth="1"/>
    <col min="8681" max="8681" width="12.140625" style="91" customWidth="1"/>
    <col min="8682" max="8682" width="15.85546875" style="91" customWidth="1"/>
    <col min="8683" max="8683" width="17.7109375" style="91" customWidth="1"/>
    <col min="8684" max="8684" width="19" style="91" customWidth="1"/>
    <col min="8685" max="8685" width="13.5703125" style="91" customWidth="1"/>
    <col min="8686" max="8686" width="12" style="91" customWidth="1"/>
    <col min="8687" max="8935" width="9.140625" style="91"/>
    <col min="8936" max="8936" width="59.85546875" style="91" customWidth="1"/>
    <col min="8937" max="8937" width="12.140625" style="91" customWidth="1"/>
    <col min="8938" max="8938" width="15.85546875" style="91" customWidth="1"/>
    <col min="8939" max="8939" width="17.7109375" style="91" customWidth="1"/>
    <col min="8940" max="8940" width="19" style="91" customWidth="1"/>
    <col min="8941" max="8941" width="13.5703125" style="91" customWidth="1"/>
    <col min="8942" max="8942" width="12" style="91" customWidth="1"/>
    <col min="8943" max="9191" width="9.140625" style="91"/>
    <col min="9192" max="9192" width="59.85546875" style="91" customWidth="1"/>
    <col min="9193" max="9193" width="12.140625" style="91" customWidth="1"/>
    <col min="9194" max="9194" width="15.85546875" style="91" customWidth="1"/>
    <col min="9195" max="9195" width="17.7109375" style="91" customWidth="1"/>
    <col min="9196" max="9196" width="19" style="91" customWidth="1"/>
    <col min="9197" max="9197" width="13.5703125" style="91" customWidth="1"/>
    <col min="9198" max="9198" width="12" style="91" customWidth="1"/>
    <col min="9199" max="9447" width="9.140625" style="91"/>
    <col min="9448" max="9448" width="59.85546875" style="91" customWidth="1"/>
    <col min="9449" max="9449" width="12.140625" style="91" customWidth="1"/>
    <col min="9450" max="9450" width="15.85546875" style="91" customWidth="1"/>
    <col min="9451" max="9451" width="17.7109375" style="91" customWidth="1"/>
    <col min="9452" max="9452" width="19" style="91" customWidth="1"/>
    <col min="9453" max="9453" width="13.5703125" style="91" customWidth="1"/>
    <col min="9454" max="9454" width="12" style="91" customWidth="1"/>
    <col min="9455" max="9703" width="9.140625" style="91"/>
    <col min="9704" max="9704" width="59.85546875" style="91" customWidth="1"/>
    <col min="9705" max="9705" width="12.140625" style="91" customWidth="1"/>
    <col min="9706" max="9706" width="15.85546875" style="91" customWidth="1"/>
    <col min="9707" max="9707" width="17.7109375" style="91" customWidth="1"/>
    <col min="9708" max="9708" width="19" style="91" customWidth="1"/>
    <col min="9709" max="9709" width="13.5703125" style="91" customWidth="1"/>
    <col min="9710" max="9710" width="12" style="91" customWidth="1"/>
    <col min="9711" max="9959" width="9.140625" style="91"/>
    <col min="9960" max="9960" width="59.85546875" style="91" customWidth="1"/>
    <col min="9961" max="9961" width="12.140625" style="91" customWidth="1"/>
    <col min="9962" max="9962" width="15.85546875" style="91" customWidth="1"/>
    <col min="9963" max="9963" width="17.7109375" style="91" customWidth="1"/>
    <col min="9964" max="9964" width="19" style="91" customWidth="1"/>
    <col min="9965" max="9965" width="13.5703125" style="91" customWidth="1"/>
    <col min="9966" max="9966" width="12" style="91" customWidth="1"/>
    <col min="9967" max="10215" width="9.140625" style="91"/>
    <col min="10216" max="10216" width="59.85546875" style="91" customWidth="1"/>
    <col min="10217" max="10217" width="12.140625" style="91" customWidth="1"/>
    <col min="10218" max="10218" width="15.85546875" style="91" customWidth="1"/>
    <col min="10219" max="10219" width="17.7109375" style="91" customWidth="1"/>
    <col min="10220" max="10220" width="19" style="91" customWidth="1"/>
    <col min="10221" max="10221" width="13.5703125" style="91" customWidth="1"/>
    <col min="10222" max="10222" width="12" style="91" customWidth="1"/>
    <col min="10223" max="10471" width="9.140625" style="91"/>
    <col min="10472" max="10472" width="59.85546875" style="91" customWidth="1"/>
    <col min="10473" max="10473" width="12.140625" style="91" customWidth="1"/>
    <col min="10474" max="10474" width="15.85546875" style="91" customWidth="1"/>
    <col min="10475" max="10475" width="17.7109375" style="91" customWidth="1"/>
    <col min="10476" max="10476" width="19" style="91" customWidth="1"/>
    <col min="10477" max="10477" width="13.5703125" style="91" customWidth="1"/>
    <col min="10478" max="10478" width="12" style="91" customWidth="1"/>
    <col min="10479" max="10727" width="9.140625" style="91"/>
    <col min="10728" max="10728" width="59.85546875" style="91" customWidth="1"/>
    <col min="10729" max="10729" width="12.140625" style="91" customWidth="1"/>
    <col min="10730" max="10730" width="15.85546875" style="91" customWidth="1"/>
    <col min="10731" max="10731" width="17.7109375" style="91" customWidth="1"/>
    <col min="10732" max="10732" width="19" style="91" customWidth="1"/>
    <col min="10733" max="10733" width="13.5703125" style="91" customWidth="1"/>
    <col min="10734" max="10734" width="12" style="91" customWidth="1"/>
    <col min="10735" max="10983" width="9.140625" style="91"/>
    <col min="10984" max="10984" width="59.85546875" style="91" customWidth="1"/>
    <col min="10985" max="10985" width="12.140625" style="91" customWidth="1"/>
    <col min="10986" max="10986" width="15.85546875" style="91" customWidth="1"/>
    <col min="10987" max="10987" width="17.7109375" style="91" customWidth="1"/>
    <col min="10988" max="10988" width="19" style="91" customWidth="1"/>
    <col min="10989" max="10989" width="13.5703125" style="91" customWidth="1"/>
    <col min="10990" max="10990" width="12" style="91" customWidth="1"/>
    <col min="10991" max="11239" width="9.140625" style="91"/>
    <col min="11240" max="11240" width="59.85546875" style="91" customWidth="1"/>
    <col min="11241" max="11241" width="12.140625" style="91" customWidth="1"/>
    <col min="11242" max="11242" width="15.85546875" style="91" customWidth="1"/>
    <col min="11243" max="11243" width="17.7109375" style="91" customWidth="1"/>
    <col min="11244" max="11244" width="19" style="91" customWidth="1"/>
    <col min="11245" max="11245" width="13.5703125" style="91" customWidth="1"/>
    <col min="11246" max="11246" width="12" style="91" customWidth="1"/>
    <col min="11247" max="11495" width="9.140625" style="91"/>
    <col min="11496" max="11496" width="59.85546875" style="91" customWidth="1"/>
    <col min="11497" max="11497" width="12.140625" style="91" customWidth="1"/>
    <col min="11498" max="11498" width="15.85546875" style="91" customWidth="1"/>
    <col min="11499" max="11499" width="17.7109375" style="91" customWidth="1"/>
    <col min="11500" max="11500" width="19" style="91" customWidth="1"/>
    <col min="11501" max="11501" width="13.5703125" style="91" customWidth="1"/>
    <col min="11502" max="11502" width="12" style="91" customWidth="1"/>
    <col min="11503" max="11751" width="9.140625" style="91"/>
    <col min="11752" max="11752" width="59.85546875" style="91" customWidth="1"/>
    <col min="11753" max="11753" width="12.140625" style="91" customWidth="1"/>
    <col min="11754" max="11754" width="15.85546875" style="91" customWidth="1"/>
    <col min="11755" max="11755" width="17.7109375" style="91" customWidth="1"/>
    <col min="11756" max="11756" width="19" style="91" customWidth="1"/>
    <col min="11757" max="11757" width="13.5703125" style="91" customWidth="1"/>
    <col min="11758" max="11758" width="12" style="91" customWidth="1"/>
    <col min="11759" max="12007" width="9.140625" style="91"/>
    <col min="12008" max="12008" width="59.85546875" style="91" customWidth="1"/>
    <col min="12009" max="12009" width="12.140625" style="91" customWidth="1"/>
    <col min="12010" max="12010" width="15.85546875" style="91" customWidth="1"/>
    <col min="12011" max="12011" width="17.7109375" style="91" customWidth="1"/>
    <col min="12012" max="12012" width="19" style="91" customWidth="1"/>
    <col min="12013" max="12013" width="13.5703125" style="91" customWidth="1"/>
    <col min="12014" max="12014" width="12" style="91" customWidth="1"/>
    <col min="12015" max="12263" width="9.140625" style="91"/>
    <col min="12264" max="12264" width="59.85546875" style="91" customWidth="1"/>
    <col min="12265" max="12265" width="12.140625" style="91" customWidth="1"/>
    <col min="12266" max="12266" width="15.85546875" style="91" customWidth="1"/>
    <col min="12267" max="12267" width="17.7109375" style="91" customWidth="1"/>
    <col min="12268" max="12268" width="19" style="91" customWidth="1"/>
    <col min="12269" max="12269" width="13.5703125" style="91" customWidth="1"/>
    <col min="12270" max="12270" width="12" style="91" customWidth="1"/>
    <col min="12271" max="12519" width="9.140625" style="91"/>
    <col min="12520" max="12520" width="59.85546875" style="91" customWidth="1"/>
    <col min="12521" max="12521" width="12.140625" style="91" customWidth="1"/>
    <col min="12522" max="12522" width="15.85546875" style="91" customWidth="1"/>
    <col min="12523" max="12523" width="17.7109375" style="91" customWidth="1"/>
    <col min="12524" max="12524" width="19" style="91" customWidth="1"/>
    <col min="12525" max="12525" width="13.5703125" style="91" customWidth="1"/>
    <col min="12526" max="12526" width="12" style="91" customWidth="1"/>
    <col min="12527" max="12775" width="9.140625" style="91"/>
    <col min="12776" max="12776" width="59.85546875" style="91" customWidth="1"/>
    <col min="12777" max="12777" width="12.140625" style="91" customWidth="1"/>
    <col min="12778" max="12778" width="15.85546875" style="91" customWidth="1"/>
    <col min="12779" max="12779" width="17.7109375" style="91" customWidth="1"/>
    <col min="12780" max="12780" width="19" style="91" customWidth="1"/>
    <col min="12781" max="12781" width="13.5703125" style="91" customWidth="1"/>
    <col min="12782" max="12782" width="12" style="91" customWidth="1"/>
    <col min="12783" max="13031" width="9.140625" style="91"/>
    <col min="13032" max="13032" width="59.85546875" style="91" customWidth="1"/>
    <col min="13033" max="13033" width="12.140625" style="91" customWidth="1"/>
    <col min="13034" max="13034" width="15.85546875" style="91" customWidth="1"/>
    <col min="13035" max="13035" width="17.7109375" style="91" customWidth="1"/>
    <col min="13036" max="13036" width="19" style="91" customWidth="1"/>
    <col min="13037" max="13037" width="13.5703125" style="91" customWidth="1"/>
    <col min="13038" max="13038" width="12" style="91" customWidth="1"/>
    <col min="13039" max="13287" width="9.140625" style="91"/>
    <col min="13288" max="13288" width="59.85546875" style="91" customWidth="1"/>
    <col min="13289" max="13289" width="12.140625" style="91" customWidth="1"/>
    <col min="13290" max="13290" width="15.85546875" style="91" customWidth="1"/>
    <col min="13291" max="13291" width="17.7109375" style="91" customWidth="1"/>
    <col min="13292" max="13292" width="19" style="91" customWidth="1"/>
    <col min="13293" max="13293" width="13.5703125" style="91" customWidth="1"/>
    <col min="13294" max="13294" width="12" style="91" customWidth="1"/>
    <col min="13295" max="13543" width="9.140625" style="91"/>
    <col min="13544" max="13544" width="59.85546875" style="91" customWidth="1"/>
    <col min="13545" max="13545" width="12.140625" style="91" customWidth="1"/>
    <col min="13546" max="13546" width="15.85546875" style="91" customWidth="1"/>
    <col min="13547" max="13547" width="17.7109375" style="91" customWidth="1"/>
    <col min="13548" max="13548" width="19" style="91" customWidth="1"/>
    <col min="13549" max="13549" width="13.5703125" style="91" customWidth="1"/>
    <col min="13550" max="13550" width="12" style="91" customWidth="1"/>
    <col min="13551" max="13799" width="9.140625" style="91"/>
    <col min="13800" max="13800" width="59.85546875" style="91" customWidth="1"/>
    <col min="13801" max="13801" width="12.140625" style="91" customWidth="1"/>
    <col min="13802" max="13802" width="15.85546875" style="91" customWidth="1"/>
    <col min="13803" max="13803" width="17.7109375" style="91" customWidth="1"/>
    <col min="13804" max="13804" width="19" style="91" customWidth="1"/>
    <col min="13805" max="13805" width="13.5703125" style="91" customWidth="1"/>
    <col min="13806" max="13806" width="12" style="91" customWidth="1"/>
    <col min="13807" max="14055" width="9.140625" style="91"/>
    <col min="14056" max="14056" width="59.85546875" style="91" customWidth="1"/>
    <col min="14057" max="14057" width="12.140625" style="91" customWidth="1"/>
    <col min="14058" max="14058" width="15.85546875" style="91" customWidth="1"/>
    <col min="14059" max="14059" width="17.7109375" style="91" customWidth="1"/>
    <col min="14060" max="14060" width="19" style="91" customWidth="1"/>
    <col min="14061" max="14061" width="13.5703125" style="91" customWidth="1"/>
    <col min="14062" max="14062" width="12" style="91" customWidth="1"/>
    <col min="14063" max="14311" width="9.140625" style="91"/>
    <col min="14312" max="14312" width="59.85546875" style="91" customWidth="1"/>
    <col min="14313" max="14313" width="12.140625" style="91" customWidth="1"/>
    <col min="14314" max="14314" width="15.85546875" style="91" customWidth="1"/>
    <col min="14315" max="14315" width="17.7109375" style="91" customWidth="1"/>
    <col min="14316" max="14316" width="19" style="91" customWidth="1"/>
    <col min="14317" max="14317" width="13.5703125" style="91" customWidth="1"/>
    <col min="14318" max="14318" width="12" style="91" customWidth="1"/>
    <col min="14319" max="14567" width="9.140625" style="91"/>
    <col min="14568" max="14568" width="59.85546875" style="91" customWidth="1"/>
    <col min="14569" max="14569" width="12.140625" style="91" customWidth="1"/>
    <col min="14570" max="14570" width="15.85546875" style="91" customWidth="1"/>
    <col min="14571" max="14571" width="17.7109375" style="91" customWidth="1"/>
    <col min="14572" max="14572" width="19" style="91" customWidth="1"/>
    <col min="14573" max="14573" width="13.5703125" style="91" customWidth="1"/>
    <col min="14574" max="14574" width="12" style="91" customWidth="1"/>
    <col min="14575" max="14823" width="9.140625" style="91"/>
    <col min="14824" max="14824" width="59.85546875" style="91" customWidth="1"/>
    <col min="14825" max="14825" width="12.140625" style="91" customWidth="1"/>
    <col min="14826" max="14826" width="15.85546875" style="91" customWidth="1"/>
    <col min="14827" max="14827" width="17.7109375" style="91" customWidth="1"/>
    <col min="14828" max="14828" width="19" style="91" customWidth="1"/>
    <col min="14829" max="14829" width="13.5703125" style="91" customWidth="1"/>
    <col min="14830" max="14830" width="12" style="91" customWidth="1"/>
    <col min="14831" max="15079" width="9.140625" style="91"/>
    <col min="15080" max="15080" width="59.85546875" style="91" customWidth="1"/>
    <col min="15081" max="15081" width="12.140625" style="91" customWidth="1"/>
    <col min="15082" max="15082" width="15.85546875" style="91" customWidth="1"/>
    <col min="15083" max="15083" width="17.7109375" style="91" customWidth="1"/>
    <col min="15084" max="15084" width="19" style="91" customWidth="1"/>
    <col min="15085" max="15085" width="13.5703125" style="91" customWidth="1"/>
    <col min="15086" max="15086" width="12" style="91" customWidth="1"/>
    <col min="15087" max="15335" width="9.140625" style="91"/>
    <col min="15336" max="15336" width="59.85546875" style="91" customWidth="1"/>
    <col min="15337" max="15337" width="12.140625" style="91" customWidth="1"/>
    <col min="15338" max="15338" width="15.85546875" style="91" customWidth="1"/>
    <col min="15339" max="15339" width="17.7109375" style="91" customWidth="1"/>
    <col min="15340" max="15340" width="19" style="91" customWidth="1"/>
    <col min="15341" max="15341" width="13.5703125" style="91" customWidth="1"/>
    <col min="15342" max="15342" width="12" style="91" customWidth="1"/>
    <col min="15343" max="15591" width="9.140625" style="91"/>
    <col min="15592" max="15592" width="59.85546875" style="91" customWidth="1"/>
    <col min="15593" max="15593" width="12.140625" style="91" customWidth="1"/>
    <col min="15594" max="15594" width="15.85546875" style="91" customWidth="1"/>
    <col min="15595" max="15595" width="17.7109375" style="91" customWidth="1"/>
    <col min="15596" max="15596" width="19" style="91" customWidth="1"/>
    <col min="15597" max="15597" width="13.5703125" style="91" customWidth="1"/>
    <col min="15598" max="15598" width="12" style="91" customWidth="1"/>
    <col min="15599" max="15847" width="9.140625" style="91"/>
    <col min="15848" max="15848" width="59.85546875" style="91" customWidth="1"/>
    <col min="15849" max="15849" width="12.140625" style="91" customWidth="1"/>
    <col min="15850" max="15850" width="15.85546875" style="91" customWidth="1"/>
    <col min="15851" max="15851" width="17.7109375" style="91" customWidth="1"/>
    <col min="15852" max="15852" width="19" style="91" customWidth="1"/>
    <col min="15853" max="15853" width="13.5703125" style="91" customWidth="1"/>
    <col min="15854" max="15854" width="12" style="91" customWidth="1"/>
    <col min="15855" max="16103" width="9.140625" style="91"/>
    <col min="16104" max="16104" width="59.85546875" style="91" customWidth="1"/>
    <col min="16105" max="16105" width="12.140625" style="91" customWidth="1"/>
    <col min="16106" max="16106" width="15.85546875" style="91" customWidth="1"/>
    <col min="16107" max="16107" width="17.7109375" style="91" customWidth="1"/>
    <col min="16108" max="16108" width="19" style="91" customWidth="1"/>
    <col min="16109" max="16109" width="13.5703125" style="91" customWidth="1"/>
    <col min="16110" max="16110" width="12" style="91" customWidth="1"/>
    <col min="16111" max="16384" width="9.140625" style="91"/>
  </cols>
  <sheetData>
    <row r="1" spans="1:28" x14ac:dyDescent="0.3">
      <c r="C1" s="400" t="s">
        <v>570</v>
      </c>
      <c r="D1" s="401"/>
      <c r="E1" s="101"/>
      <c r="N1" s="360" t="s">
        <v>714</v>
      </c>
      <c r="O1" s="361"/>
      <c r="P1" s="361"/>
      <c r="Q1" s="361"/>
      <c r="R1" s="361"/>
      <c r="S1" s="361"/>
      <c r="T1" s="361"/>
    </row>
    <row r="2" spans="1:28" s="95" customFormat="1" ht="18" x14ac:dyDescent="0.35">
      <c r="A2" s="402" t="s">
        <v>13</v>
      </c>
      <c r="B2" s="402"/>
      <c r="C2" s="402"/>
      <c r="D2" s="402"/>
      <c r="E2" s="104"/>
      <c r="F2" s="105"/>
      <c r="G2" s="105"/>
      <c r="I2" s="106"/>
      <c r="N2" s="362" t="s">
        <v>715</v>
      </c>
      <c r="O2" s="361"/>
      <c r="P2" s="361"/>
      <c r="Q2" s="361"/>
      <c r="R2" s="361"/>
      <c r="S2" s="361"/>
      <c r="T2" s="361"/>
    </row>
    <row r="3" spans="1:28" s="95" customFormat="1" ht="18" x14ac:dyDescent="0.35">
      <c r="A3" s="402" t="s">
        <v>714</v>
      </c>
      <c r="B3" s="402"/>
      <c r="C3" s="402"/>
      <c r="D3" s="402"/>
      <c r="E3" s="104"/>
      <c r="F3" s="105"/>
      <c r="G3" s="105"/>
      <c r="I3" s="106"/>
      <c r="N3" s="361"/>
      <c r="O3" s="361"/>
      <c r="P3" s="361"/>
      <c r="Q3" s="361"/>
      <c r="R3" s="361"/>
      <c r="S3" s="361"/>
      <c r="T3" s="361"/>
    </row>
    <row r="4" spans="1:28" s="95" customFormat="1" ht="33.75" x14ac:dyDescent="0.35">
      <c r="A4" s="107" t="s">
        <v>329</v>
      </c>
      <c r="B4" s="108" t="s">
        <v>713</v>
      </c>
      <c r="C4" s="108"/>
      <c r="D4" s="108"/>
      <c r="F4" s="105"/>
      <c r="G4" s="105"/>
      <c r="I4" s="106"/>
      <c r="N4" s="363" t="s">
        <v>283</v>
      </c>
      <c r="O4" s="363" t="s">
        <v>284</v>
      </c>
      <c r="P4" s="361"/>
      <c r="Q4" s="361"/>
      <c r="R4" s="361"/>
      <c r="S4" s="361"/>
      <c r="T4" s="361"/>
    </row>
    <row r="5" spans="1:28" s="109" customFormat="1" x14ac:dyDescent="0.3">
      <c r="D5" s="110" t="s">
        <v>14</v>
      </c>
      <c r="E5" s="111"/>
      <c r="F5" s="112"/>
      <c r="G5" s="112"/>
      <c r="I5" s="113"/>
      <c r="N5" s="361"/>
      <c r="O5" s="361"/>
      <c r="P5" s="361"/>
      <c r="Q5" s="361"/>
      <c r="R5" s="361"/>
      <c r="S5" s="361"/>
      <c r="T5" s="361"/>
    </row>
    <row r="6" spans="1:28" ht="45" x14ac:dyDescent="0.3">
      <c r="A6" s="114" t="s">
        <v>15</v>
      </c>
      <c r="B6" s="114" t="s">
        <v>16</v>
      </c>
      <c r="C6" s="114" t="s">
        <v>17</v>
      </c>
      <c r="D6" s="114" t="s">
        <v>18</v>
      </c>
      <c r="E6" s="115"/>
      <c r="F6" s="403" t="s">
        <v>468</v>
      </c>
      <c r="G6" s="403"/>
      <c r="I6" s="116" t="s">
        <v>429</v>
      </c>
      <c r="N6" s="408" t="s">
        <v>261</v>
      </c>
      <c r="O6" s="406" t="s">
        <v>262</v>
      </c>
      <c r="P6" s="406"/>
      <c r="Q6" s="406" t="s">
        <v>263</v>
      </c>
      <c r="R6" s="406"/>
      <c r="S6" s="406" t="s">
        <v>264</v>
      </c>
      <c r="T6" s="406"/>
    </row>
    <row r="7" spans="1:28" x14ac:dyDescent="0.3">
      <c r="A7" s="117">
        <v>1</v>
      </c>
      <c r="B7" s="117">
        <v>2</v>
      </c>
      <c r="C7" s="117">
        <v>3</v>
      </c>
      <c r="D7" s="117">
        <v>4</v>
      </c>
      <c r="E7" s="118"/>
      <c r="F7" s="119"/>
      <c r="G7" s="119"/>
      <c r="N7" s="409"/>
      <c r="O7" s="364" t="s">
        <v>265</v>
      </c>
      <c r="P7" s="364" t="s">
        <v>266</v>
      </c>
      <c r="Q7" s="364" t="s">
        <v>265</v>
      </c>
      <c r="R7" s="364" t="s">
        <v>266</v>
      </c>
      <c r="S7" s="364" t="s">
        <v>265</v>
      </c>
      <c r="T7" s="364" t="s">
        <v>266</v>
      </c>
    </row>
    <row r="8" spans="1:28" x14ac:dyDescent="0.3">
      <c r="A8" s="120" t="s">
        <v>83</v>
      </c>
      <c r="B8" s="121" t="s">
        <v>67</v>
      </c>
      <c r="C8" s="122" t="s">
        <v>67</v>
      </c>
      <c r="D8" s="123" t="s">
        <v>67</v>
      </c>
      <c r="E8" s="124"/>
      <c r="F8" s="119"/>
      <c r="G8" s="119"/>
      <c r="N8" s="365" t="s">
        <v>267</v>
      </c>
      <c r="O8" s="366"/>
      <c r="P8" s="366"/>
      <c r="Q8" s="367">
        <v>550210056.77999997</v>
      </c>
      <c r="R8" s="367">
        <v>521178039.33999997</v>
      </c>
      <c r="S8" s="367">
        <v>29032017.440000001</v>
      </c>
      <c r="T8" s="366"/>
      <c r="V8" s="365"/>
      <c r="W8" s="366"/>
      <c r="X8" s="366"/>
      <c r="Y8" s="367"/>
      <c r="Z8" s="367"/>
      <c r="AA8" s="367"/>
      <c r="AB8" s="366"/>
    </row>
    <row r="9" spans="1:28" x14ac:dyDescent="0.3">
      <c r="A9" s="125" t="s">
        <v>19</v>
      </c>
      <c r="B9" s="121" t="s">
        <v>84</v>
      </c>
      <c r="C9" s="154">
        <f>C11+C12</f>
        <v>29032</v>
      </c>
      <c r="D9" s="154"/>
      <c r="E9" s="126"/>
      <c r="F9" s="127"/>
      <c r="G9" s="128"/>
      <c r="I9" s="129">
        <f t="shared" ref="I9:I65" si="0">C9-D9</f>
        <v>29032</v>
      </c>
      <c r="N9" s="368" t="s">
        <v>573</v>
      </c>
      <c r="O9" s="369"/>
      <c r="P9" s="369"/>
      <c r="Q9" s="370">
        <v>1385400</v>
      </c>
      <c r="R9" s="370">
        <v>1385400</v>
      </c>
      <c r="S9" s="369"/>
      <c r="T9" s="369"/>
      <c r="V9" s="368"/>
      <c r="W9" s="369"/>
      <c r="X9" s="369"/>
      <c r="Y9" s="370"/>
      <c r="Z9" s="370"/>
      <c r="AA9" s="369"/>
      <c r="AB9" s="369"/>
    </row>
    <row r="10" spans="1:28" x14ac:dyDescent="0.3">
      <c r="A10" s="125" t="s">
        <v>52</v>
      </c>
      <c r="B10" s="121" t="s">
        <v>67</v>
      </c>
      <c r="C10" s="155"/>
      <c r="D10" s="155"/>
      <c r="E10" s="130"/>
      <c r="F10" s="119"/>
      <c r="G10" s="131"/>
      <c r="I10" s="129">
        <f t="shared" si="0"/>
        <v>0</v>
      </c>
      <c r="N10" s="371" t="s">
        <v>574</v>
      </c>
      <c r="O10" s="369"/>
      <c r="P10" s="369"/>
      <c r="Q10" s="370">
        <v>1385400</v>
      </c>
      <c r="R10" s="370">
        <v>1385400</v>
      </c>
      <c r="S10" s="369"/>
      <c r="T10" s="369"/>
      <c r="V10" s="371"/>
      <c r="W10" s="369"/>
      <c r="X10" s="369"/>
      <c r="Y10" s="370"/>
      <c r="Z10" s="370"/>
      <c r="AA10" s="369"/>
      <c r="AB10" s="369"/>
    </row>
    <row r="11" spans="1:28" x14ac:dyDescent="0.3">
      <c r="A11" s="125" t="s">
        <v>85</v>
      </c>
      <c r="B11" s="121" t="s">
        <v>1</v>
      </c>
      <c r="C11" s="154">
        <f>ROUND(0/1000,0)</f>
        <v>0</v>
      </c>
      <c r="D11" s="154"/>
      <c r="E11" s="126"/>
      <c r="F11" s="119"/>
      <c r="G11" s="131"/>
      <c r="I11" s="129">
        <f t="shared" si="0"/>
        <v>0</v>
      </c>
      <c r="N11" s="368" t="s">
        <v>268</v>
      </c>
      <c r="O11" s="369"/>
      <c r="P11" s="369"/>
      <c r="Q11" s="370">
        <v>548824656.77999997</v>
      </c>
      <c r="R11" s="370">
        <v>519792639.33999997</v>
      </c>
      <c r="S11" s="370">
        <v>29032017.440000001</v>
      </c>
      <c r="T11" s="369"/>
      <c r="V11" s="368"/>
      <c r="W11" s="369"/>
      <c r="X11" s="369"/>
      <c r="Y11" s="370"/>
      <c r="Z11" s="370"/>
      <c r="AA11" s="370"/>
      <c r="AB11" s="369"/>
    </row>
    <row r="12" spans="1:28" ht="30" x14ac:dyDescent="0.3">
      <c r="A12" s="125" t="s">
        <v>86</v>
      </c>
      <c r="B12" s="121" t="s">
        <v>2</v>
      </c>
      <c r="C12" s="154">
        <f>ROUND(S11/1000,0)</f>
        <v>29032</v>
      </c>
      <c r="D12" s="154"/>
      <c r="E12" s="126"/>
      <c r="F12" s="127" t="e">
        <f>#REF!+#REF!</f>
        <v>#REF!</v>
      </c>
      <c r="G12" s="127" t="e">
        <f>F12-C12</f>
        <v>#REF!</v>
      </c>
      <c r="I12" s="129">
        <f t="shared" si="0"/>
        <v>29032</v>
      </c>
      <c r="N12" s="365" t="s">
        <v>497</v>
      </c>
      <c r="O12" s="366"/>
      <c r="P12" s="366"/>
      <c r="Q12" s="367">
        <v>517000000</v>
      </c>
      <c r="R12" s="367">
        <v>478000000</v>
      </c>
      <c r="S12" s="367">
        <v>39000000</v>
      </c>
      <c r="T12" s="366"/>
      <c r="V12" s="365"/>
      <c r="W12" s="366"/>
      <c r="X12" s="366"/>
      <c r="Y12" s="367"/>
      <c r="Z12" s="367"/>
      <c r="AA12" s="367"/>
      <c r="AB12" s="366"/>
    </row>
    <row r="13" spans="1:28" x14ac:dyDescent="0.3">
      <c r="A13" s="125" t="s">
        <v>20</v>
      </c>
      <c r="B13" s="121" t="s">
        <v>87</v>
      </c>
      <c r="C13" s="154">
        <v>0</v>
      </c>
      <c r="D13" s="154"/>
      <c r="E13" s="126"/>
      <c r="F13" s="119"/>
      <c r="G13" s="119">
        <f t="shared" ref="G13:G18" si="1">F13-C13</f>
        <v>0</v>
      </c>
      <c r="I13" s="129">
        <f t="shared" si="0"/>
        <v>0</v>
      </c>
      <c r="N13" s="368" t="s">
        <v>498</v>
      </c>
      <c r="O13" s="369"/>
      <c r="P13" s="369"/>
      <c r="Q13" s="370">
        <v>517000000</v>
      </c>
      <c r="R13" s="370">
        <v>478000000</v>
      </c>
      <c r="S13" s="370">
        <v>39000000</v>
      </c>
      <c r="T13" s="369"/>
      <c r="V13" s="368"/>
      <c r="W13" s="369"/>
      <c r="X13" s="369"/>
      <c r="Y13" s="370"/>
      <c r="Z13" s="370"/>
      <c r="AA13" s="370"/>
      <c r="AB13" s="369"/>
    </row>
    <row r="14" spans="1:28" ht="24" x14ac:dyDescent="0.3">
      <c r="A14" s="125" t="s">
        <v>26</v>
      </c>
      <c r="B14" s="121" t="s">
        <v>88</v>
      </c>
      <c r="C14" s="154">
        <f>ROUND((S13+S17)/1000,0)</f>
        <v>39025</v>
      </c>
      <c r="D14" s="154"/>
      <c r="E14" s="126"/>
      <c r="F14" s="127" t="e">
        <f>#REF!</f>
        <v>#REF!</v>
      </c>
      <c r="G14" s="127" t="e">
        <f t="shared" si="1"/>
        <v>#REF!</v>
      </c>
      <c r="I14" s="129">
        <f t="shared" si="0"/>
        <v>39025</v>
      </c>
      <c r="N14" s="371" t="s">
        <v>716</v>
      </c>
      <c r="O14" s="369"/>
      <c r="P14" s="369"/>
      <c r="Q14" s="370">
        <v>517000000</v>
      </c>
      <c r="R14" s="370">
        <v>478000000</v>
      </c>
      <c r="S14" s="370">
        <v>39000000</v>
      </c>
      <c r="T14" s="369"/>
      <c r="V14" s="371"/>
      <c r="W14" s="369"/>
      <c r="X14" s="369"/>
      <c r="Y14" s="370"/>
      <c r="Z14" s="370"/>
      <c r="AA14" s="370"/>
      <c r="AB14" s="369"/>
    </row>
    <row r="15" spans="1:28" x14ac:dyDescent="0.3">
      <c r="A15" s="125" t="s">
        <v>52</v>
      </c>
      <c r="B15" s="121" t="s">
        <v>67</v>
      </c>
      <c r="C15" s="155"/>
      <c r="D15" s="155"/>
      <c r="E15" s="130"/>
      <c r="F15" s="119"/>
      <c r="G15" s="119">
        <f t="shared" si="1"/>
        <v>0</v>
      </c>
      <c r="I15" s="129">
        <f t="shared" si="0"/>
        <v>0</v>
      </c>
      <c r="N15" s="365" t="s">
        <v>269</v>
      </c>
      <c r="O15" s="366"/>
      <c r="P15" s="366"/>
      <c r="Q15" s="367">
        <v>319305.58</v>
      </c>
      <c r="R15" s="367">
        <v>293982.65999999997</v>
      </c>
      <c r="S15" s="367">
        <v>25322.92</v>
      </c>
      <c r="T15" s="366"/>
      <c r="V15" s="365"/>
      <c r="W15" s="366"/>
      <c r="X15" s="366"/>
      <c r="Y15" s="367"/>
      <c r="Z15" s="367"/>
      <c r="AA15" s="367"/>
      <c r="AB15" s="366"/>
    </row>
    <row r="16" spans="1:28" x14ac:dyDescent="0.3">
      <c r="A16" s="125" t="s">
        <v>89</v>
      </c>
      <c r="B16" s="121" t="s">
        <v>5</v>
      </c>
      <c r="C16" s="154">
        <f>ROUND(S17/1000,0)</f>
        <v>25</v>
      </c>
      <c r="D16" s="154"/>
      <c r="E16" s="126"/>
      <c r="F16" s="127" t="e">
        <f>#REF!</f>
        <v>#REF!</v>
      </c>
      <c r="G16" s="127" t="e">
        <f t="shared" si="1"/>
        <v>#REF!</v>
      </c>
      <c r="I16" s="129">
        <f t="shared" si="0"/>
        <v>25</v>
      </c>
      <c r="N16" s="368" t="s">
        <v>499</v>
      </c>
      <c r="O16" s="369"/>
      <c r="P16" s="369"/>
      <c r="Q16" s="370">
        <v>319305.58</v>
      </c>
      <c r="R16" s="370">
        <v>293982.65999999997</v>
      </c>
      <c r="S16" s="370">
        <v>25322.92</v>
      </c>
      <c r="T16" s="369"/>
      <c r="V16" s="368"/>
      <c r="W16" s="369"/>
      <c r="X16" s="369"/>
      <c r="Y16" s="370"/>
      <c r="Z16" s="370"/>
      <c r="AA16" s="370"/>
      <c r="AB16" s="369"/>
    </row>
    <row r="17" spans="1:28" ht="24" x14ac:dyDescent="0.3">
      <c r="A17" s="125" t="s">
        <v>25</v>
      </c>
      <c r="B17" s="121" t="s">
        <v>21</v>
      </c>
      <c r="C17" s="154">
        <v>0</v>
      </c>
      <c r="D17" s="154"/>
      <c r="E17" s="126"/>
      <c r="F17" s="127" t="e">
        <f>#REF!</f>
        <v>#REF!</v>
      </c>
      <c r="G17" s="127" t="e">
        <f t="shared" si="1"/>
        <v>#REF!</v>
      </c>
      <c r="I17" s="129">
        <f t="shared" si="0"/>
        <v>0</v>
      </c>
      <c r="N17" s="371" t="s">
        <v>717</v>
      </c>
      <c r="O17" s="369"/>
      <c r="P17" s="369"/>
      <c r="Q17" s="370">
        <v>319305.58</v>
      </c>
      <c r="R17" s="370">
        <v>293982.65999999997</v>
      </c>
      <c r="S17" s="370">
        <v>25322.92</v>
      </c>
      <c r="T17" s="369"/>
      <c r="V17" s="371"/>
      <c r="W17" s="369"/>
      <c r="X17" s="369"/>
      <c r="Y17" s="370"/>
      <c r="Z17" s="370"/>
      <c r="AA17" s="370"/>
      <c r="AB17" s="369"/>
    </row>
    <row r="18" spans="1:28" x14ac:dyDescent="0.3">
      <c r="A18" s="125" t="s">
        <v>52</v>
      </c>
      <c r="B18" s="121" t="s">
        <v>67</v>
      </c>
      <c r="C18" s="155"/>
      <c r="D18" s="155"/>
      <c r="E18" s="130"/>
      <c r="F18" s="119"/>
      <c r="G18" s="119">
        <f t="shared" si="1"/>
        <v>0</v>
      </c>
      <c r="I18" s="129">
        <f t="shared" si="0"/>
        <v>0</v>
      </c>
      <c r="N18" s="365" t="s">
        <v>506</v>
      </c>
      <c r="O18" s="366"/>
      <c r="P18" s="366"/>
      <c r="Q18" s="367">
        <v>47895.88</v>
      </c>
      <c r="R18" s="367">
        <v>47895.88</v>
      </c>
      <c r="S18" s="366"/>
      <c r="T18" s="366"/>
      <c r="V18" s="365"/>
      <c r="W18" s="366"/>
      <c r="X18" s="366"/>
      <c r="Y18" s="367"/>
      <c r="Z18" s="367"/>
      <c r="AA18" s="366"/>
      <c r="AB18" s="366"/>
    </row>
    <row r="19" spans="1:28" x14ac:dyDescent="0.3">
      <c r="A19" s="125" t="s">
        <v>89</v>
      </c>
      <c r="B19" s="121" t="s">
        <v>6</v>
      </c>
      <c r="C19" s="156">
        <v>0</v>
      </c>
      <c r="D19" s="274"/>
      <c r="E19" s="126"/>
      <c r="F19" s="119"/>
      <c r="G19" s="119">
        <f>F19-C19</f>
        <v>0</v>
      </c>
      <c r="I19" s="129">
        <f t="shared" si="0"/>
        <v>0</v>
      </c>
      <c r="N19" s="368" t="s">
        <v>708</v>
      </c>
      <c r="O19" s="369"/>
      <c r="P19" s="369"/>
      <c r="Q19" s="370">
        <v>47895.88</v>
      </c>
      <c r="R19" s="370">
        <v>47895.88</v>
      </c>
      <c r="S19" s="369"/>
      <c r="T19" s="369"/>
      <c r="V19" s="368"/>
      <c r="W19" s="369"/>
      <c r="X19" s="369"/>
      <c r="Y19" s="370"/>
      <c r="Z19" s="370"/>
      <c r="AA19" s="369"/>
      <c r="AB19" s="369"/>
    </row>
    <row r="20" spans="1:28" ht="30" x14ac:dyDescent="0.3">
      <c r="A20" s="125" t="s">
        <v>11</v>
      </c>
      <c r="B20" s="121" t="s">
        <v>90</v>
      </c>
      <c r="C20" s="154">
        <v>0</v>
      </c>
      <c r="D20" s="154"/>
      <c r="E20" s="126"/>
      <c r="F20" s="127" t="e">
        <f>#REF!+#REF!+#REF!</f>
        <v>#REF!</v>
      </c>
      <c r="G20" s="127" t="e">
        <f>F20-C20</f>
        <v>#REF!</v>
      </c>
      <c r="I20" s="129">
        <f t="shared" si="0"/>
        <v>0</v>
      </c>
      <c r="N20" s="365" t="s">
        <v>500</v>
      </c>
      <c r="O20" s="366"/>
      <c r="P20" s="366"/>
      <c r="Q20" s="367">
        <v>1401059.34</v>
      </c>
      <c r="R20" s="367">
        <v>19059.34</v>
      </c>
      <c r="S20" s="367">
        <v>1382000</v>
      </c>
      <c r="T20" s="366"/>
      <c r="V20" s="365"/>
      <c r="W20" s="366"/>
      <c r="X20" s="366"/>
      <c r="Y20" s="367"/>
      <c r="Z20" s="367"/>
      <c r="AA20" s="367"/>
      <c r="AB20" s="366"/>
    </row>
    <row r="21" spans="1:28" x14ac:dyDescent="0.3">
      <c r="A21" s="125" t="s">
        <v>52</v>
      </c>
      <c r="B21" s="121"/>
      <c r="C21" s="154"/>
      <c r="D21" s="154"/>
      <c r="E21" s="126"/>
      <c r="F21" s="119"/>
      <c r="G21" s="119"/>
      <c r="I21" s="129">
        <f t="shared" si="0"/>
        <v>0</v>
      </c>
      <c r="N21" s="368" t="s">
        <v>501</v>
      </c>
      <c r="O21" s="369"/>
      <c r="P21" s="369"/>
      <c r="Q21" s="370">
        <v>1401059.34</v>
      </c>
      <c r="R21" s="370">
        <v>19059.34</v>
      </c>
      <c r="S21" s="370">
        <v>1382000</v>
      </c>
      <c r="T21" s="369"/>
      <c r="V21" s="368"/>
      <c r="W21" s="369"/>
      <c r="X21" s="369"/>
      <c r="Y21" s="370"/>
      <c r="Z21" s="370"/>
      <c r="AA21" s="370"/>
      <c r="AB21" s="369"/>
    </row>
    <row r="22" spans="1:28" x14ac:dyDescent="0.3">
      <c r="A22" s="125" t="s">
        <v>89</v>
      </c>
      <c r="B22" s="121" t="s">
        <v>7</v>
      </c>
      <c r="C22" s="154">
        <v>0</v>
      </c>
      <c r="D22" s="154"/>
      <c r="E22" s="126"/>
      <c r="F22" s="127" t="e">
        <f>#REF!+#REF!</f>
        <v>#REF!</v>
      </c>
      <c r="G22" s="127" t="e">
        <f>F22-C22</f>
        <v>#REF!</v>
      </c>
      <c r="I22" s="129">
        <f t="shared" si="0"/>
        <v>0</v>
      </c>
      <c r="N22" s="365" t="s">
        <v>270</v>
      </c>
      <c r="O22" s="366"/>
      <c r="P22" s="366"/>
      <c r="Q22" s="367">
        <v>45139</v>
      </c>
      <c r="R22" s="367">
        <v>49157</v>
      </c>
      <c r="S22" s="366"/>
      <c r="T22" s="367">
        <v>4018</v>
      </c>
      <c r="V22" s="365"/>
      <c r="W22" s="366"/>
      <c r="X22" s="366"/>
      <c r="Y22" s="367"/>
      <c r="Z22" s="367"/>
      <c r="AA22" s="366"/>
      <c r="AB22" s="367"/>
    </row>
    <row r="23" spans="1:28" ht="30" x14ac:dyDescent="0.3">
      <c r="A23" s="125" t="s">
        <v>258</v>
      </c>
      <c r="B23" s="121" t="s">
        <v>91</v>
      </c>
      <c r="C23" s="154">
        <v>0</v>
      </c>
      <c r="D23" s="154"/>
      <c r="E23" s="126"/>
      <c r="F23" s="127" t="e">
        <f>#REF!+#REF!</f>
        <v>#REF!</v>
      </c>
      <c r="G23" s="127" t="e">
        <f>F23-C23</f>
        <v>#REF!</v>
      </c>
      <c r="I23" s="129">
        <f t="shared" si="0"/>
        <v>0</v>
      </c>
      <c r="N23" s="368" t="s">
        <v>514</v>
      </c>
      <c r="O23" s="369"/>
      <c r="P23" s="369"/>
      <c r="Q23" s="370">
        <v>45139</v>
      </c>
      <c r="R23" s="370">
        <v>45139</v>
      </c>
      <c r="S23" s="369"/>
      <c r="T23" s="369"/>
      <c r="V23" s="368"/>
      <c r="W23" s="369"/>
      <c r="X23" s="369"/>
      <c r="Y23" s="370"/>
      <c r="Z23" s="370"/>
      <c r="AA23" s="369"/>
      <c r="AB23" s="369"/>
    </row>
    <row r="24" spans="1:28" x14ac:dyDescent="0.3">
      <c r="A24" s="125" t="s">
        <v>52</v>
      </c>
      <c r="B24" s="121" t="s">
        <v>67</v>
      </c>
      <c r="C24" s="155"/>
      <c r="D24" s="155"/>
      <c r="E24" s="130"/>
      <c r="F24" s="119"/>
      <c r="G24" s="119"/>
      <c r="I24" s="129">
        <f t="shared" si="0"/>
        <v>0</v>
      </c>
      <c r="N24" s="368" t="s">
        <v>271</v>
      </c>
      <c r="O24" s="369"/>
      <c r="P24" s="369"/>
      <c r="Q24" s="369"/>
      <c r="R24" s="372">
        <v>616</v>
      </c>
      <c r="S24" s="369"/>
      <c r="T24" s="372">
        <v>616</v>
      </c>
      <c r="V24" s="368"/>
      <c r="W24" s="369"/>
      <c r="X24" s="369"/>
      <c r="Y24" s="369"/>
      <c r="Z24" s="372"/>
      <c r="AA24" s="369"/>
      <c r="AB24" s="372"/>
    </row>
    <row r="25" spans="1:28" x14ac:dyDescent="0.3">
      <c r="A25" s="125" t="s">
        <v>92</v>
      </c>
      <c r="B25" s="121" t="s">
        <v>8</v>
      </c>
      <c r="C25" s="154">
        <v>0</v>
      </c>
      <c r="D25" s="154"/>
      <c r="E25" s="126"/>
      <c r="F25" s="127" t="e">
        <f>#REF!+#REF!</f>
        <v>#REF!</v>
      </c>
      <c r="G25" s="127" t="e">
        <f>F25-C25</f>
        <v>#REF!</v>
      </c>
      <c r="I25" s="129">
        <f t="shared" si="0"/>
        <v>0</v>
      </c>
      <c r="N25" s="368" t="s">
        <v>272</v>
      </c>
      <c r="O25" s="369"/>
      <c r="P25" s="369"/>
      <c r="Q25" s="369"/>
      <c r="R25" s="370">
        <v>3402</v>
      </c>
      <c r="S25" s="369"/>
      <c r="T25" s="370">
        <v>3402</v>
      </c>
      <c r="V25" s="368"/>
      <c r="W25" s="369"/>
      <c r="X25" s="369"/>
      <c r="Y25" s="369"/>
      <c r="Z25" s="370"/>
      <c r="AA25" s="369"/>
      <c r="AB25" s="370"/>
    </row>
    <row r="26" spans="1:28" ht="30" x14ac:dyDescent="0.3">
      <c r="A26" s="125" t="s">
        <v>259</v>
      </c>
      <c r="B26" s="121" t="s">
        <v>93</v>
      </c>
      <c r="C26" s="154">
        <v>0</v>
      </c>
      <c r="D26" s="154"/>
      <c r="E26" s="126"/>
      <c r="I26" s="129">
        <f t="shared" si="0"/>
        <v>0</v>
      </c>
      <c r="N26" s="365" t="s">
        <v>273</v>
      </c>
      <c r="O26" s="366"/>
      <c r="P26" s="366"/>
      <c r="Q26" s="366"/>
      <c r="R26" s="367">
        <v>11550</v>
      </c>
      <c r="S26" s="366"/>
      <c r="T26" s="367">
        <v>11550</v>
      </c>
      <c r="V26" s="365"/>
      <c r="W26" s="366"/>
      <c r="X26" s="366"/>
      <c r="Y26" s="366"/>
      <c r="Z26" s="367"/>
      <c r="AA26" s="366"/>
      <c r="AB26" s="367"/>
    </row>
    <row r="27" spans="1:28" x14ac:dyDescent="0.3">
      <c r="A27" s="125" t="s">
        <v>52</v>
      </c>
      <c r="B27" s="121" t="s">
        <v>67</v>
      </c>
      <c r="C27" s="155"/>
      <c r="D27" s="155"/>
      <c r="E27" s="130"/>
      <c r="I27" s="129">
        <f t="shared" si="0"/>
        <v>0</v>
      </c>
      <c r="N27" s="368" t="s">
        <v>274</v>
      </c>
      <c r="O27" s="369"/>
      <c r="P27" s="369"/>
      <c r="Q27" s="369"/>
      <c r="R27" s="370">
        <v>4550</v>
      </c>
      <c r="S27" s="369"/>
      <c r="T27" s="370">
        <v>4550</v>
      </c>
      <c r="V27" s="368"/>
      <c r="W27" s="369"/>
      <c r="X27" s="369"/>
      <c r="Y27" s="369"/>
      <c r="Z27" s="370"/>
      <c r="AA27" s="369"/>
      <c r="AB27" s="370"/>
    </row>
    <row r="28" spans="1:28" x14ac:dyDescent="0.3">
      <c r="A28" s="125" t="s">
        <v>92</v>
      </c>
      <c r="B28" s="121" t="s">
        <v>23</v>
      </c>
      <c r="C28" s="154">
        <v>0</v>
      </c>
      <c r="D28" s="154"/>
      <c r="E28" s="126"/>
      <c r="I28" s="129">
        <f t="shared" si="0"/>
        <v>0</v>
      </c>
      <c r="N28" s="371" t="s">
        <v>502</v>
      </c>
      <c r="O28" s="369"/>
      <c r="P28" s="369"/>
      <c r="Q28" s="369"/>
      <c r="R28" s="370">
        <v>2450</v>
      </c>
      <c r="S28" s="369"/>
      <c r="T28" s="370">
        <v>2450</v>
      </c>
      <c r="V28" s="371"/>
      <c r="W28" s="369"/>
      <c r="X28" s="369"/>
      <c r="Y28" s="369"/>
      <c r="Z28" s="370"/>
      <c r="AA28" s="369"/>
      <c r="AB28" s="370"/>
    </row>
    <row r="29" spans="1:28" ht="24" x14ac:dyDescent="0.3">
      <c r="A29" s="125" t="s">
        <v>27</v>
      </c>
      <c r="B29" s="121" t="s">
        <v>94</v>
      </c>
      <c r="C29" s="154">
        <v>0</v>
      </c>
      <c r="D29" s="154"/>
      <c r="E29" s="126"/>
      <c r="I29" s="129">
        <f t="shared" si="0"/>
        <v>0</v>
      </c>
      <c r="N29" s="371" t="s">
        <v>275</v>
      </c>
      <c r="O29" s="369"/>
      <c r="P29" s="369"/>
      <c r="Q29" s="369"/>
      <c r="R29" s="370">
        <v>2100</v>
      </c>
      <c r="S29" s="369"/>
      <c r="T29" s="370">
        <v>2100</v>
      </c>
      <c r="V29" s="371"/>
      <c r="W29" s="369"/>
      <c r="X29" s="369"/>
      <c r="Y29" s="369"/>
      <c r="Z29" s="370"/>
      <c r="AA29" s="369"/>
      <c r="AB29" s="370"/>
    </row>
    <row r="30" spans="1:28" x14ac:dyDescent="0.3">
      <c r="A30" s="125" t="s">
        <v>28</v>
      </c>
      <c r="B30" s="121" t="s">
        <v>95</v>
      </c>
      <c r="C30" s="154">
        <v>0</v>
      </c>
      <c r="D30" s="154"/>
      <c r="E30" s="126"/>
      <c r="I30" s="129">
        <f t="shared" si="0"/>
        <v>0</v>
      </c>
      <c r="N30" s="368" t="s">
        <v>276</v>
      </c>
      <c r="O30" s="369"/>
      <c r="P30" s="369"/>
      <c r="Q30" s="369"/>
      <c r="R30" s="370">
        <v>7000</v>
      </c>
      <c r="S30" s="369"/>
      <c r="T30" s="370">
        <v>7000</v>
      </c>
      <c r="V30" s="368"/>
      <c r="W30" s="369"/>
      <c r="X30" s="369"/>
      <c r="Y30" s="369"/>
      <c r="Z30" s="370"/>
      <c r="AA30" s="369"/>
      <c r="AB30" s="370"/>
    </row>
    <row r="31" spans="1:28" x14ac:dyDescent="0.3">
      <c r="A31" s="125" t="s">
        <v>29</v>
      </c>
      <c r="B31" s="121" t="s">
        <v>96</v>
      </c>
      <c r="C31" s="154">
        <v>0</v>
      </c>
      <c r="D31" s="154"/>
      <c r="E31" s="126"/>
      <c r="I31" s="129">
        <f t="shared" si="0"/>
        <v>0</v>
      </c>
      <c r="N31" s="365" t="s">
        <v>277</v>
      </c>
      <c r="O31" s="366"/>
      <c r="P31" s="366"/>
      <c r="Q31" s="367">
        <v>26675.34</v>
      </c>
      <c r="R31" s="367">
        <v>89059.34</v>
      </c>
      <c r="S31" s="366"/>
      <c r="T31" s="367">
        <v>62384</v>
      </c>
      <c r="V31" s="365"/>
      <c r="W31" s="366"/>
      <c r="X31" s="366"/>
      <c r="Y31" s="367"/>
      <c r="Z31" s="367"/>
      <c r="AA31" s="366"/>
      <c r="AB31" s="367"/>
    </row>
    <row r="32" spans="1:28" ht="24" x14ac:dyDescent="0.3">
      <c r="A32" s="125" t="s">
        <v>30</v>
      </c>
      <c r="B32" s="121" t="s">
        <v>97</v>
      </c>
      <c r="C32" s="154">
        <v>0</v>
      </c>
      <c r="D32" s="154"/>
      <c r="E32" s="126"/>
      <c r="I32" s="129">
        <f t="shared" si="0"/>
        <v>0</v>
      </c>
      <c r="N32" s="368" t="s">
        <v>278</v>
      </c>
      <c r="O32" s="369"/>
      <c r="P32" s="369"/>
      <c r="Q32" s="370">
        <v>19059.34</v>
      </c>
      <c r="R32" s="370">
        <v>19059.34</v>
      </c>
      <c r="S32" s="369"/>
      <c r="T32" s="369"/>
      <c r="V32" s="368"/>
      <c r="W32" s="369"/>
      <c r="X32" s="369"/>
      <c r="Y32" s="370"/>
      <c r="Z32" s="370"/>
      <c r="AA32" s="369"/>
      <c r="AB32" s="369"/>
    </row>
    <row r="33" spans="1:28" x14ac:dyDescent="0.3">
      <c r="A33" s="125" t="s">
        <v>32</v>
      </c>
      <c r="B33" s="121" t="s">
        <v>98</v>
      </c>
      <c r="C33" s="154">
        <v>0</v>
      </c>
      <c r="D33" s="154"/>
      <c r="E33" s="126"/>
      <c r="I33" s="129">
        <f t="shared" si="0"/>
        <v>0</v>
      </c>
      <c r="N33" s="368" t="s">
        <v>279</v>
      </c>
      <c r="O33" s="369"/>
      <c r="P33" s="369"/>
      <c r="Q33" s="370">
        <v>7616</v>
      </c>
      <c r="R33" s="370">
        <v>70000</v>
      </c>
      <c r="S33" s="369"/>
      <c r="T33" s="370">
        <v>62384</v>
      </c>
      <c r="V33" s="368"/>
      <c r="W33" s="369"/>
      <c r="X33" s="369"/>
      <c r="Y33" s="370"/>
      <c r="Z33" s="370"/>
      <c r="AA33" s="369"/>
      <c r="AB33" s="370"/>
    </row>
    <row r="34" spans="1:28" x14ac:dyDescent="0.3">
      <c r="A34" s="125" t="s">
        <v>31</v>
      </c>
      <c r="B34" s="121" t="s">
        <v>64</v>
      </c>
      <c r="C34" s="154">
        <v>0</v>
      </c>
      <c r="D34" s="154"/>
      <c r="E34" s="126"/>
      <c r="I34" s="129">
        <f t="shared" si="0"/>
        <v>0</v>
      </c>
      <c r="N34" s="365" t="s">
        <v>280</v>
      </c>
      <c r="O34" s="366"/>
      <c r="P34" s="366"/>
      <c r="Q34" s="366"/>
      <c r="R34" s="367">
        <v>69199500</v>
      </c>
      <c r="S34" s="366"/>
      <c r="T34" s="367">
        <v>69199500</v>
      </c>
      <c r="V34" s="365"/>
      <c r="W34" s="366"/>
      <c r="X34" s="366"/>
      <c r="Y34" s="366"/>
      <c r="Z34" s="367"/>
      <c r="AA34" s="366"/>
      <c r="AB34" s="367"/>
    </row>
    <row r="35" spans="1:28" ht="30" x14ac:dyDescent="0.3">
      <c r="A35" s="125" t="s">
        <v>438</v>
      </c>
      <c r="B35" s="121" t="s">
        <v>66</v>
      </c>
      <c r="C35" s="154">
        <v>0</v>
      </c>
      <c r="D35" s="154"/>
      <c r="E35" s="126"/>
      <c r="I35" s="129">
        <f t="shared" si="0"/>
        <v>0</v>
      </c>
      <c r="N35" s="368" t="s">
        <v>281</v>
      </c>
      <c r="O35" s="369"/>
      <c r="P35" s="369"/>
      <c r="Q35" s="369"/>
      <c r="R35" s="370">
        <v>69199500</v>
      </c>
      <c r="S35" s="369"/>
      <c r="T35" s="370">
        <v>69199500</v>
      </c>
      <c r="V35" s="368"/>
      <c r="W35" s="369"/>
      <c r="X35" s="369"/>
      <c r="Y35" s="369"/>
      <c r="Z35" s="370"/>
      <c r="AA35" s="369"/>
      <c r="AB35" s="370"/>
    </row>
    <row r="36" spans="1:28" ht="25.5" x14ac:dyDescent="0.3">
      <c r="A36" s="125" t="s">
        <v>22</v>
      </c>
      <c r="B36" s="121" t="s">
        <v>75</v>
      </c>
      <c r="C36" s="154">
        <v>0</v>
      </c>
      <c r="D36" s="154"/>
      <c r="E36" s="126"/>
      <c r="I36" s="129">
        <f t="shared" si="0"/>
        <v>0</v>
      </c>
      <c r="N36" s="365" t="s">
        <v>511</v>
      </c>
      <c r="O36" s="366"/>
      <c r="P36" s="366"/>
      <c r="Q36" s="366"/>
      <c r="R36" s="367">
        <v>161888.35999999999</v>
      </c>
      <c r="S36" s="366"/>
      <c r="T36" s="367">
        <v>161888.35999999999</v>
      </c>
      <c r="V36" s="365"/>
      <c r="W36" s="366"/>
      <c r="X36" s="366"/>
      <c r="Y36" s="366"/>
      <c r="Z36" s="367"/>
      <c r="AA36" s="366"/>
      <c r="AB36" s="367"/>
    </row>
    <row r="37" spans="1:28" ht="24" x14ac:dyDescent="0.3">
      <c r="A37" s="125" t="s">
        <v>99</v>
      </c>
      <c r="B37" s="121" t="s">
        <v>77</v>
      </c>
      <c r="C37" s="156">
        <v>0</v>
      </c>
      <c r="D37" s="274"/>
      <c r="E37" s="126"/>
      <c r="F37" s="127" t="e">
        <f>#REF!</f>
        <v>#REF!</v>
      </c>
      <c r="G37" s="127" t="e">
        <f>F37-C37-C58-C59-C36</f>
        <v>#REF!</v>
      </c>
      <c r="I37" s="129">
        <f t="shared" si="0"/>
        <v>0</v>
      </c>
      <c r="N37" s="368" t="s">
        <v>512</v>
      </c>
      <c r="O37" s="369"/>
      <c r="P37" s="369"/>
      <c r="Q37" s="369"/>
      <c r="R37" s="370">
        <v>161888.35999999999</v>
      </c>
      <c r="S37" s="369"/>
      <c r="T37" s="370">
        <v>161888.35999999999</v>
      </c>
      <c r="V37" s="368"/>
      <c r="W37" s="369"/>
      <c r="X37" s="369"/>
      <c r="Y37" s="369"/>
      <c r="Z37" s="370"/>
      <c r="AA37" s="369"/>
      <c r="AB37" s="370"/>
    </row>
    <row r="38" spans="1:28" x14ac:dyDescent="0.3">
      <c r="A38" s="125" t="s">
        <v>52</v>
      </c>
      <c r="B38" s="121" t="s">
        <v>67</v>
      </c>
      <c r="C38" s="155"/>
      <c r="D38" s="155"/>
      <c r="E38" s="130"/>
      <c r="I38" s="129">
        <f t="shared" si="0"/>
        <v>0</v>
      </c>
      <c r="N38" s="373" t="s">
        <v>12</v>
      </c>
      <c r="O38" s="374"/>
      <c r="P38" s="374"/>
      <c r="Q38" s="375">
        <v>1069864700.3</v>
      </c>
      <c r="R38" s="375">
        <v>1069864700.3</v>
      </c>
      <c r="S38" s="375">
        <v>69439340.359999999</v>
      </c>
      <c r="T38" s="375">
        <v>69439340.359999999</v>
      </c>
    </row>
    <row r="39" spans="1:28" x14ac:dyDescent="0.3">
      <c r="A39" s="125" t="s">
        <v>100</v>
      </c>
      <c r="B39" s="121" t="s">
        <v>118</v>
      </c>
      <c r="C39" s="157">
        <f>C40+C41</f>
        <v>0</v>
      </c>
      <c r="D39" s="275"/>
      <c r="E39" s="126"/>
      <c r="F39" s="132"/>
      <c r="G39" s="132"/>
      <c r="I39" s="129">
        <f t="shared" si="0"/>
        <v>0</v>
      </c>
    </row>
    <row r="40" spans="1:28" x14ac:dyDescent="0.3">
      <c r="A40" s="125" t="s">
        <v>102</v>
      </c>
      <c r="B40" s="133" t="s">
        <v>439</v>
      </c>
      <c r="C40" s="154"/>
      <c r="D40" s="154"/>
      <c r="E40" s="126"/>
      <c r="F40" s="132"/>
      <c r="G40" s="132"/>
      <c r="I40" s="129">
        <f t="shared" si="0"/>
        <v>0</v>
      </c>
    </row>
    <row r="41" spans="1:28" x14ac:dyDescent="0.3">
      <c r="A41" s="125" t="s">
        <v>103</v>
      </c>
      <c r="B41" s="133" t="s">
        <v>440</v>
      </c>
      <c r="C41" s="154"/>
      <c r="D41" s="154"/>
      <c r="E41" s="126"/>
      <c r="I41" s="129">
        <f t="shared" si="0"/>
        <v>0</v>
      </c>
    </row>
    <row r="42" spans="1:28" x14ac:dyDescent="0.3">
      <c r="A42" s="125" t="s">
        <v>104</v>
      </c>
      <c r="B42" s="134" t="s">
        <v>120</v>
      </c>
      <c r="C42" s="154"/>
      <c r="D42" s="154"/>
      <c r="E42" s="126"/>
      <c r="I42" s="129">
        <f t="shared" si="0"/>
        <v>0</v>
      </c>
    </row>
    <row r="43" spans="1:28" x14ac:dyDescent="0.3">
      <c r="A43" s="125" t="s">
        <v>106</v>
      </c>
      <c r="B43" s="134" t="s">
        <v>122</v>
      </c>
      <c r="C43" s="154"/>
      <c r="D43" s="154"/>
      <c r="E43" s="126"/>
      <c r="I43" s="129">
        <f t="shared" si="0"/>
        <v>0</v>
      </c>
    </row>
    <row r="44" spans="1:28" x14ac:dyDescent="0.3">
      <c r="A44" s="125" t="s">
        <v>108</v>
      </c>
      <c r="B44" s="134" t="s">
        <v>124</v>
      </c>
      <c r="C44" s="154"/>
      <c r="D44" s="154"/>
      <c r="E44" s="126"/>
      <c r="I44" s="129">
        <f t="shared" si="0"/>
        <v>0</v>
      </c>
    </row>
    <row r="45" spans="1:28" x14ac:dyDescent="0.3">
      <c r="A45" s="125" t="s">
        <v>110</v>
      </c>
      <c r="B45" s="134" t="s">
        <v>228</v>
      </c>
      <c r="C45" s="154"/>
      <c r="D45" s="154"/>
      <c r="E45" s="126"/>
      <c r="I45" s="129">
        <f t="shared" si="0"/>
        <v>0</v>
      </c>
    </row>
    <row r="46" spans="1:28" x14ac:dyDescent="0.3">
      <c r="A46" s="125" t="s">
        <v>112</v>
      </c>
      <c r="B46" s="134" t="s">
        <v>441</v>
      </c>
      <c r="C46" s="154"/>
      <c r="D46" s="154"/>
      <c r="E46" s="126"/>
      <c r="I46" s="129">
        <f t="shared" si="0"/>
        <v>0</v>
      </c>
    </row>
    <row r="47" spans="1:28" x14ac:dyDescent="0.3">
      <c r="A47" s="125" t="s">
        <v>114</v>
      </c>
      <c r="B47" s="134" t="s">
        <v>442</v>
      </c>
      <c r="C47" s="154"/>
      <c r="D47" s="154"/>
      <c r="E47" s="126"/>
      <c r="I47" s="129">
        <f t="shared" si="0"/>
        <v>0</v>
      </c>
    </row>
    <row r="48" spans="1:28" x14ac:dyDescent="0.3">
      <c r="A48" s="125" t="s">
        <v>24</v>
      </c>
      <c r="B48" s="134" t="s">
        <v>443</v>
      </c>
      <c r="C48" s="154"/>
      <c r="D48" s="154"/>
      <c r="E48" s="126"/>
      <c r="I48" s="129">
        <f t="shared" si="0"/>
        <v>0</v>
      </c>
    </row>
    <row r="49" spans="1:9" x14ac:dyDescent="0.3">
      <c r="A49" s="125" t="s">
        <v>115</v>
      </c>
      <c r="B49" s="134" t="s">
        <v>444</v>
      </c>
      <c r="C49" s="154"/>
      <c r="D49" s="154"/>
      <c r="E49" s="126"/>
      <c r="I49" s="129">
        <f t="shared" si="0"/>
        <v>0</v>
      </c>
    </row>
    <row r="50" spans="1:9" x14ac:dyDescent="0.3">
      <c r="A50" s="125" t="s">
        <v>116</v>
      </c>
      <c r="B50" s="134" t="s">
        <v>78</v>
      </c>
      <c r="C50" s="154">
        <v>0</v>
      </c>
      <c r="D50" s="154"/>
      <c r="E50" s="126"/>
      <c r="I50" s="129">
        <f t="shared" si="0"/>
        <v>0</v>
      </c>
    </row>
    <row r="51" spans="1:9" x14ac:dyDescent="0.3">
      <c r="A51" s="125" t="s">
        <v>52</v>
      </c>
      <c r="B51" s="134" t="s">
        <v>67</v>
      </c>
      <c r="C51" s="155"/>
      <c r="D51" s="155"/>
      <c r="E51" s="130"/>
      <c r="I51" s="129">
        <f t="shared" si="0"/>
        <v>0</v>
      </c>
    </row>
    <row r="52" spans="1:9" x14ac:dyDescent="0.3">
      <c r="A52" s="125" t="s">
        <v>117</v>
      </c>
      <c r="B52" s="134" t="s">
        <v>445</v>
      </c>
      <c r="C52" s="154">
        <v>0</v>
      </c>
      <c r="D52" s="154"/>
      <c r="E52" s="126"/>
      <c r="F52" s="132"/>
      <c r="G52" s="132"/>
      <c r="I52" s="129">
        <f t="shared" si="0"/>
        <v>0</v>
      </c>
    </row>
    <row r="53" spans="1:9" x14ac:dyDescent="0.3">
      <c r="A53" s="125" t="s">
        <v>119</v>
      </c>
      <c r="B53" s="134" t="s">
        <v>446</v>
      </c>
      <c r="C53" s="154">
        <v>0</v>
      </c>
      <c r="D53" s="154"/>
      <c r="E53" s="126"/>
      <c r="I53" s="129">
        <f t="shared" si="0"/>
        <v>0</v>
      </c>
    </row>
    <row r="54" spans="1:9" x14ac:dyDescent="0.3">
      <c r="A54" s="125" t="s">
        <v>121</v>
      </c>
      <c r="B54" s="134" t="s">
        <v>447</v>
      </c>
      <c r="C54" s="154">
        <v>0</v>
      </c>
      <c r="D54" s="154"/>
      <c r="E54" s="126"/>
      <c r="I54" s="129">
        <f t="shared" si="0"/>
        <v>0</v>
      </c>
    </row>
    <row r="55" spans="1:9" x14ac:dyDescent="0.3">
      <c r="A55" s="125" t="s">
        <v>123</v>
      </c>
      <c r="B55" s="134" t="s">
        <v>448</v>
      </c>
      <c r="C55" s="154">
        <v>0</v>
      </c>
      <c r="D55" s="154"/>
      <c r="E55" s="126"/>
      <c r="I55" s="129">
        <f t="shared" si="0"/>
        <v>0</v>
      </c>
    </row>
    <row r="56" spans="1:9" x14ac:dyDescent="0.3">
      <c r="A56" s="125" t="s">
        <v>255</v>
      </c>
      <c r="B56" s="134" t="s">
        <v>79</v>
      </c>
      <c r="C56" s="154" t="e">
        <f>ROUND(#REF!/1000,0)</f>
        <v>#REF!</v>
      </c>
      <c r="D56" s="154"/>
      <c r="E56" s="126"/>
      <c r="I56" s="129" t="e">
        <f t="shared" si="0"/>
        <v>#REF!</v>
      </c>
    </row>
    <row r="57" spans="1:9" x14ac:dyDescent="0.3">
      <c r="A57" s="125" t="s">
        <v>33</v>
      </c>
      <c r="B57" s="134" t="s">
        <v>80</v>
      </c>
      <c r="C57" s="154">
        <v>0</v>
      </c>
      <c r="D57" s="154"/>
      <c r="E57" s="126"/>
      <c r="I57" s="129">
        <f t="shared" si="0"/>
        <v>0</v>
      </c>
    </row>
    <row r="58" spans="1:9" x14ac:dyDescent="0.3">
      <c r="A58" s="125" t="s">
        <v>125</v>
      </c>
      <c r="B58" s="134" t="s">
        <v>126</v>
      </c>
      <c r="C58" s="154">
        <f>ROUND((S21)/1000,0)</f>
        <v>1382</v>
      </c>
      <c r="D58" s="154"/>
      <c r="E58" s="126"/>
      <c r="I58" s="129">
        <f t="shared" si="0"/>
        <v>1382</v>
      </c>
    </row>
    <row r="59" spans="1:9" x14ac:dyDescent="0.3">
      <c r="A59" s="125" t="s">
        <v>34</v>
      </c>
      <c r="B59" s="134" t="s">
        <v>128</v>
      </c>
      <c r="C59" s="154" t="e">
        <f>ROUND(#REF!/1000,0)</f>
        <v>#REF!</v>
      </c>
      <c r="D59" s="154"/>
      <c r="E59" s="126"/>
      <c r="I59" s="129" t="e">
        <f t="shared" si="0"/>
        <v>#REF!</v>
      </c>
    </row>
    <row r="60" spans="1:9" x14ac:dyDescent="0.3">
      <c r="A60" s="135" t="s">
        <v>127</v>
      </c>
      <c r="B60" s="136" t="s">
        <v>129</v>
      </c>
      <c r="C60" s="158" t="e">
        <f>SUM(C9,C14,C17,C20,C23,C26,C29:C37,C50,C56:C59)</f>
        <v>#REF!</v>
      </c>
      <c r="D60" s="276"/>
      <c r="E60" s="137"/>
      <c r="F60" s="127" t="e">
        <f>C60-ROUND(#REF!/1000,0)</f>
        <v>#REF!</v>
      </c>
      <c r="G60" s="127"/>
      <c r="I60" s="129" t="e">
        <f t="shared" si="0"/>
        <v>#REF!</v>
      </c>
    </row>
    <row r="61" spans="1:9" x14ac:dyDescent="0.3">
      <c r="A61" s="120" t="s">
        <v>35</v>
      </c>
      <c r="B61" s="134" t="s">
        <v>67</v>
      </c>
      <c r="C61" s="159"/>
      <c r="D61" s="159"/>
      <c r="E61" s="130"/>
      <c r="I61" s="129">
        <f t="shared" si="0"/>
        <v>0</v>
      </c>
    </row>
    <row r="62" spans="1:9" x14ac:dyDescent="0.3">
      <c r="A62" s="125" t="s">
        <v>37</v>
      </c>
      <c r="B62" s="134">
        <v>23</v>
      </c>
      <c r="C62" s="160"/>
      <c r="D62" s="160"/>
      <c r="E62" s="126"/>
      <c r="F62" s="127" t="e">
        <f>#REF!</f>
        <v>#REF!</v>
      </c>
      <c r="G62" s="127" t="e">
        <f>F62-C62</f>
        <v>#REF!</v>
      </c>
      <c r="I62" s="129">
        <f t="shared" si="0"/>
        <v>0</v>
      </c>
    </row>
    <row r="63" spans="1:9" x14ac:dyDescent="0.3">
      <c r="A63" s="125" t="s">
        <v>36</v>
      </c>
      <c r="B63" s="134">
        <v>24</v>
      </c>
      <c r="C63" s="160">
        <v>0</v>
      </c>
      <c r="D63" s="160"/>
      <c r="E63" s="126"/>
      <c r="I63" s="129">
        <f t="shared" si="0"/>
        <v>0</v>
      </c>
    </row>
    <row r="64" spans="1:9" x14ac:dyDescent="0.3">
      <c r="A64" s="125" t="s">
        <v>131</v>
      </c>
      <c r="B64" s="134">
        <v>25</v>
      </c>
      <c r="C64" s="160">
        <v>0</v>
      </c>
      <c r="D64" s="160"/>
      <c r="E64" s="126"/>
      <c r="I64" s="129">
        <f t="shared" si="0"/>
        <v>0</v>
      </c>
    </row>
    <row r="65" spans="1:9" x14ac:dyDescent="0.3">
      <c r="A65" s="125" t="s">
        <v>40</v>
      </c>
      <c r="B65" s="134">
        <v>26</v>
      </c>
      <c r="C65" s="160">
        <v>0</v>
      </c>
      <c r="D65" s="160"/>
      <c r="E65" s="126"/>
      <c r="F65" s="132"/>
      <c r="G65" s="132"/>
      <c r="I65" s="129">
        <f t="shared" si="0"/>
        <v>0</v>
      </c>
    </row>
    <row r="66" spans="1:9" x14ac:dyDescent="0.3">
      <c r="A66" s="125" t="s">
        <v>39</v>
      </c>
      <c r="B66" s="134">
        <v>27</v>
      </c>
      <c r="C66" s="160">
        <v>0</v>
      </c>
      <c r="D66" s="160"/>
      <c r="E66" s="126"/>
      <c r="F66" s="132"/>
      <c r="G66" s="132"/>
      <c r="I66" s="129">
        <f>D66-C66</f>
        <v>0</v>
      </c>
    </row>
    <row r="67" spans="1:9" x14ac:dyDescent="0.3">
      <c r="A67" s="125" t="s">
        <v>135</v>
      </c>
      <c r="B67" s="134">
        <v>28</v>
      </c>
      <c r="C67" s="160"/>
      <c r="D67" s="160"/>
      <c r="E67" s="126"/>
      <c r="F67" s="132"/>
      <c r="G67" s="132"/>
      <c r="I67" s="129">
        <f>D67-C67</f>
        <v>0</v>
      </c>
    </row>
    <row r="68" spans="1:9" x14ac:dyDescent="0.3">
      <c r="A68" s="125" t="s">
        <v>38</v>
      </c>
      <c r="B68" s="134">
        <v>29</v>
      </c>
      <c r="C68" s="161">
        <v>0</v>
      </c>
      <c r="D68" s="277"/>
      <c r="E68" s="126"/>
      <c r="F68" s="127" t="e">
        <f>#REF!/1000</f>
        <v>#REF!</v>
      </c>
      <c r="G68" s="127" t="e">
        <f>F68-C68-C69-C88-C91-C66-C90</f>
        <v>#REF!</v>
      </c>
      <c r="I68" s="129">
        <f t="shared" ref="I68:I87" si="2">D68-C68</f>
        <v>0</v>
      </c>
    </row>
    <row r="69" spans="1:9" x14ac:dyDescent="0.3">
      <c r="A69" s="125" t="s">
        <v>138</v>
      </c>
      <c r="B69" s="134">
        <v>30</v>
      </c>
      <c r="C69" s="161">
        <v>0</v>
      </c>
      <c r="D69" s="277"/>
      <c r="E69" s="126"/>
      <c r="I69" s="129">
        <f t="shared" si="2"/>
        <v>0</v>
      </c>
    </row>
    <row r="70" spans="1:9" x14ac:dyDescent="0.3">
      <c r="A70" s="125" t="s">
        <v>52</v>
      </c>
      <c r="B70" s="134" t="s">
        <v>67</v>
      </c>
      <c r="C70" s="159"/>
      <c r="D70" s="159"/>
      <c r="E70" s="130"/>
      <c r="I70" s="129">
        <f t="shared" si="2"/>
        <v>0</v>
      </c>
    </row>
    <row r="71" spans="1:9" x14ac:dyDescent="0.3">
      <c r="A71" s="125" t="s">
        <v>140</v>
      </c>
      <c r="B71" s="138" t="s">
        <v>153</v>
      </c>
      <c r="C71" s="160">
        <v>0</v>
      </c>
      <c r="D71" s="160"/>
      <c r="E71" s="126"/>
      <c r="I71" s="129">
        <f t="shared" si="2"/>
        <v>0</v>
      </c>
    </row>
    <row r="72" spans="1:9" x14ac:dyDescent="0.3">
      <c r="A72" s="139" t="s">
        <v>141</v>
      </c>
      <c r="B72" s="138" t="s">
        <v>155</v>
      </c>
      <c r="C72" s="162">
        <v>0</v>
      </c>
      <c r="D72" s="167"/>
      <c r="E72" s="126"/>
      <c r="I72" s="129">
        <f t="shared" si="2"/>
        <v>0</v>
      </c>
    </row>
    <row r="73" spans="1:9" x14ac:dyDescent="0.3">
      <c r="A73" s="139" t="s">
        <v>142</v>
      </c>
      <c r="B73" s="138" t="s">
        <v>157</v>
      </c>
      <c r="C73" s="162">
        <v>0</v>
      </c>
      <c r="D73" s="167"/>
      <c r="E73" s="126"/>
      <c r="I73" s="129">
        <f t="shared" si="2"/>
        <v>0</v>
      </c>
    </row>
    <row r="74" spans="1:9" x14ac:dyDescent="0.3">
      <c r="A74" s="139" t="s">
        <v>143</v>
      </c>
      <c r="B74" s="138" t="s">
        <v>159</v>
      </c>
      <c r="C74" s="162">
        <v>0</v>
      </c>
      <c r="D74" s="167"/>
      <c r="E74" s="126"/>
      <c r="I74" s="129">
        <f t="shared" si="2"/>
        <v>0</v>
      </c>
    </row>
    <row r="75" spans="1:9" x14ac:dyDescent="0.3">
      <c r="A75" s="139" t="s">
        <v>144</v>
      </c>
      <c r="B75" s="138" t="s">
        <v>467</v>
      </c>
      <c r="C75" s="162">
        <v>0</v>
      </c>
      <c r="D75" s="167"/>
      <c r="E75" s="126"/>
      <c r="I75" s="129">
        <f t="shared" si="2"/>
        <v>0</v>
      </c>
    </row>
    <row r="76" spans="1:9" x14ac:dyDescent="0.3">
      <c r="A76" s="139" t="s">
        <v>145</v>
      </c>
      <c r="B76" s="138" t="s">
        <v>449</v>
      </c>
      <c r="C76" s="162">
        <v>0</v>
      </c>
      <c r="D76" s="167"/>
      <c r="E76" s="126"/>
      <c r="I76" s="129">
        <f t="shared" si="2"/>
        <v>0</v>
      </c>
    </row>
    <row r="77" spans="1:9" x14ac:dyDescent="0.3">
      <c r="A77" s="139" t="s">
        <v>146</v>
      </c>
      <c r="B77" s="138" t="s">
        <v>450</v>
      </c>
      <c r="C77" s="162">
        <v>0</v>
      </c>
      <c r="D77" s="167"/>
      <c r="E77" s="126"/>
      <c r="I77" s="129">
        <f t="shared" si="2"/>
        <v>0</v>
      </c>
    </row>
    <row r="78" spans="1:9" x14ac:dyDescent="0.3">
      <c r="A78" s="139" t="s">
        <v>147</v>
      </c>
      <c r="B78" s="138" t="s">
        <v>451</v>
      </c>
      <c r="C78" s="162">
        <v>0</v>
      </c>
      <c r="D78" s="167"/>
      <c r="E78" s="126"/>
      <c r="I78" s="129">
        <f t="shared" si="2"/>
        <v>0</v>
      </c>
    </row>
    <row r="79" spans="1:9" x14ac:dyDescent="0.3">
      <c r="A79" s="139" t="s">
        <v>148</v>
      </c>
      <c r="B79" s="138" t="s">
        <v>452</v>
      </c>
      <c r="C79" s="162">
        <v>0</v>
      </c>
      <c r="D79" s="167"/>
      <c r="E79" s="126"/>
      <c r="I79" s="129">
        <f t="shared" si="2"/>
        <v>0</v>
      </c>
    </row>
    <row r="80" spans="1:9" x14ac:dyDescent="0.3">
      <c r="A80" s="139" t="s">
        <v>149</v>
      </c>
      <c r="B80" s="138" t="s">
        <v>453</v>
      </c>
      <c r="C80" s="162">
        <v>0</v>
      </c>
      <c r="D80" s="167"/>
      <c r="E80" s="126"/>
      <c r="I80" s="129">
        <f t="shared" si="2"/>
        <v>0</v>
      </c>
    </row>
    <row r="81" spans="1:9" x14ac:dyDescent="0.3">
      <c r="A81" s="139" t="s">
        <v>150</v>
      </c>
      <c r="B81" s="138" t="s">
        <v>454</v>
      </c>
      <c r="C81" s="162">
        <v>0</v>
      </c>
      <c r="D81" s="167"/>
      <c r="E81" s="126"/>
      <c r="I81" s="129">
        <f t="shared" si="2"/>
        <v>0</v>
      </c>
    </row>
    <row r="82" spans="1:9" x14ac:dyDescent="0.3">
      <c r="A82" s="139" t="s">
        <v>116</v>
      </c>
      <c r="B82" s="134">
        <v>31</v>
      </c>
      <c r="C82" s="162">
        <v>0</v>
      </c>
      <c r="D82" s="167"/>
      <c r="E82" s="126"/>
      <c r="I82" s="129">
        <f t="shared" si="2"/>
        <v>0</v>
      </c>
    </row>
    <row r="83" spans="1:9" x14ac:dyDescent="0.3">
      <c r="A83" s="139" t="s">
        <v>52</v>
      </c>
      <c r="B83" s="134" t="s">
        <v>67</v>
      </c>
      <c r="C83" s="163"/>
      <c r="D83" s="165"/>
      <c r="E83" s="130"/>
      <c r="I83" s="129">
        <f t="shared" si="2"/>
        <v>0</v>
      </c>
    </row>
    <row r="84" spans="1:9" x14ac:dyDescent="0.3">
      <c r="A84" s="139" t="s">
        <v>152</v>
      </c>
      <c r="B84" s="134" t="s">
        <v>455</v>
      </c>
      <c r="C84" s="162">
        <v>0</v>
      </c>
      <c r="D84" s="167"/>
      <c r="E84" s="126"/>
      <c r="I84" s="129">
        <f t="shared" si="2"/>
        <v>0</v>
      </c>
    </row>
    <row r="85" spans="1:9" x14ac:dyDescent="0.3">
      <c r="A85" s="139" t="s">
        <v>154</v>
      </c>
      <c r="B85" s="134" t="s">
        <v>456</v>
      </c>
      <c r="C85" s="162">
        <v>0</v>
      </c>
      <c r="D85" s="167"/>
      <c r="E85" s="126"/>
      <c r="I85" s="129">
        <f t="shared" si="2"/>
        <v>0</v>
      </c>
    </row>
    <row r="86" spans="1:9" x14ac:dyDescent="0.3">
      <c r="A86" s="139" t="s">
        <v>156</v>
      </c>
      <c r="B86" s="134" t="s">
        <v>457</v>
      </c>
      <c r="C86" s="162">
        <v>0</v>
      </c>
      <c r="D86" s="167"/>
      <c r="E86" s="126"/>
      <c r="I86" s="129">
        <f t="shared" si="2"/>
        <v>0</v>
      </c>
    </row>
    <row r="87" spans="1:9" x14ac:dyDescent="0.3">
      <c r="A87" s="139" t="s">
        <v>158</v>
      </c>
      <c r="B87" s="134" t="s">
        <v>458</v>
      </c>
      <c r="C87" s="162">
        <v>0</v>
      </c>
      <c r="D87" s="167"/>
      <c r="E87" s="126"/>
      <c r="I87" s="129">
        <f t="shared" si="2"/>
        <v>0</v>
      </c>
    </row>
    <row r="88" spans="1:9" ht="30" x14ac:dyDescent="0.3">
      <c r="A88" s="139" t="s">
        <v>459</v>
      </c>
      <c r="B88" s="134" t="s">
        <v>41</v>
      </c>
      <c r="C88" s="162">
        <f>ROUND((T22+T26)/1000,0)-1</f>
        <v>15</v>
      </c>
      <c r="D88" s="167"/>
      <c r="E88" s="126"/>
      <c r="I88" s="129">
        <f>D88-C88</f>
        <v>-15</v>
      </c>
    </row>
    <row r="89" spans="1:9" x14ac:dyDescent="0.3">
      <c r="A89" s="139" t="s">
        <v>42</v>
      </c>
      <c r="B89" s="134" t="s">
        <v>43</v>
      </c>
      <c r="C89" s="162">
        <v>0</v>
      </c>
      <c r="D89" s="167"/>
      <c r="E89" s="126"/>
      <c r="I89" s="129">
        <f>D89-C89</f>
        <v>0</v>
      </c>
    </row>
    <row r="90" spans="1:9" x14ac:dyDescent="0.3">
      <c r="A90" s="139" t="s">
        <v>160</v>
      </c>
      <c r="B90" s="134" t="s">
        <v>45</v>
      </c>
      <c r="C90" s="162">
        <v>0</v>
      </c>
      <c r="D90" s="167"/>
      <c r="E90" s="126"/>
      <c r="I90" s="129">
        <f>D90-C90</f>
        <v>0</v>
      </c>
    </row>
    <row r="91" spans="1:9" x14ac:dyDescent="0.3">
      <c r="A91" s="139" t="s">
        <v>161</v>
      </c>
      <c r="B91" s="134" t="s">
        <v>162</v>
      </c>
      <c r="C91" s="161">
        <f>ROUND(T31/1000,0)</f>
        <v>62</v>
      </c>
      <c r="D91" s="277"/>
      <c r="E91" s="126"/>
      <c r="I91" s="129">
        <f>D91-C91</f>
        <v>-62</v>
      </c>
    </row>
    <row r="92" spans="1:9" x14ac:dyDescent="0.3">
      <c r="A92" s="139" t="s">
        <v>460</v>
      </c>
      <c r="B92" s="134" t="s">
        <v>163</v>
      </c>
      <c r="C92" s="164"/>
      <c r="D92" s="278"/>
      <c r="E92" s="126"/>
      <c r="I92" s="129"/>
    </row>
    <row r="93" spans="1:9" x14ac:dyDescent="0.3">
      <c r="A93" s="139" t="s">
        <v>44</v>
      </c>
      <c r="B93" s="134">
        <v>37</v>
      </c>
      <c r="C93" s="161"/>
      <c r="D93" s="277"/>
      <c r="E93" s="126"/>
      <c r="I93" s="129">
        <f>D93-C93</f>
        <v>0</v>
      </c>
    </row>
    <row r="94" spans="1:9" x14ac:dyDescent="0.3">
      <c r="A94" s="140" t="s">
        <v>46</v>
      </c>
      <c r="B94" s="136">
        <v>38</v>
      </c>
      <c r="C94" s="158">
        <f>SUM(C62:C69,C82,C88:C93)</f>
        <v>77</v>
      </c>
      <c r="D94" s="276"/>
      <c r="E94" s="137"/>
      <c r="I94" s="129"/>
    </row>
    <row r="95" spans="1:9" x14ac:dyDescent="0.3">
      <c r="A95" s="141" t="s">
        <v>47</v>
      </c>
      <c r="B95" s="142" t="s">
        <v>67</v>
      </c>
      <c r="C95" s="165"/>
      <c r="D95" s="165"/>
      <c r="E95" s="130"/>
      <c r="I95" s="129"/>
    </row>
    <row r="96" spans="1:9" x14ac:dyDescent="0.3">
      <c r="A96" s="143" t="s">
        <v>48</v>
      </c>
      <c r="B96" s="142" t="s">
        <v>166</v>
      </c>
      <c r="C96" s="166">
        <f>ROUND(T34/1000,0)</f>
        <v>69200</v>
      </c>
      <c r="D96" s="166"/>
      <c r="E96" s="126"/>
      <c r="I96" s="129"/>
    </row>
    <row r="97" spans="1:10" x14ac:dyDescent="0.3">
      <c r="A97" s="143" t="s">
        <v>52</v>
      </c>
      <c r="B97" s="142" t="s">
        <v>67</v>
      </c>
      <c r="C97" s="165"/>
      <c r="D97" s="165"/>
      <c r="E97" s="130"/>
      <c r="I97" s="129"/>
    </row>
    <row r="98" spans="1:10" x14ac:dyDescent="0.3">
      <c r="A98" s="143" t="s">
        <v>164</v>
      </c>
      <c r="B98" s="142" t="s">
        <v>461</v>
      </c>
      <c r="C98" s="166">
        <f>ROUND(T34/1000,0)</f>
        <v>69200</v>
      </c>
      <c r="D98" s="166"/>
      <c r="E98" s="126"/>
      <c r="I98" s="129"/>
    </row>
    <row r="99" spans="1:10" x14ac:dyDescent="0.3">
      <c r="A99" s="143" t="s">
        <v>165</v>
      </c>
      <c r="B99" s="142" t="s">
        <v>462</v>
      </c>
      <c r="C99" s="167">
        <v>0</v>
      </c>
      <c r="D99" s="167"/>
      <c r="E99" s="126"/>
      <c r="I99" s="129"/>
    </row>
    <row r="100" spans="1:10" x14ac:dyDescent="0.3">
      <c r="A100" s="143" t="s">
        <v>49</v>
      </c>
      <c r="B100" s="142" t="s">
        <v>167</v>
      </c>
      <c r="C100" s="167">
        <v>0</v>
      </c>
      <c r="D100" s="167"/>
      <c r="E100" s="126"/>
      <c r="I100" s="129"/>
    </row>
    <row r="101" spans="1:10" x14ac:dyDescent="0.3">
      <c r="A101" s="143" t="s">
        <v>50</v>
      </c>
      <c r="B101" s="142" t="s">
        <v>168</v>
      </c>
      <c r="C101" s="167">
        <v>0</v>
      </c>
      <c r="D101" s="167"/>
      <c r="E101" s="126"/>
      <c r="I101" s="129"/>
    </row>
    <row r="102" spans="1:10" x14ac:dyDescent="0.3">
      <c r="A102" s="94" t="s">
        <v>51</v>
      </c>
      <c r="B102" s="142" t="s">
        <v>169</v>
      </c>
      <c r="C102" s="167">
        <v>0</v>
      </c>
      <c r="D102" s="167"/>
      <c r="E102" s="126"/>
      <c r="I102" s="129"/>
    </row>
    <row r="103" spans="1:10" ht="30" x14ac:dyDescent="0.3">
      <c r="A103" s="144" t="s">
        <v>463</v>
      </c>
      <c r="B103" s="145" t="s">
        <v>170</v>
      </c>
      <c r="C103" s="168">
        <v>0</v>
      </c>
      <c r="D103" s="167"/>
      <c r="E103" s="126"/>
      <c r="I103" s="129">
        <f>C103-D103</f>
        <v>0</v>
      </c>
    </row>
    <row r="104" spans="1:10" ht="30" x14ac:dyDescent="0.3">
      <c r="A104" s="144" t="s">
        <v>464</v>
      </c>
      <c r="B104" s="145" t="s">
        <v>171</v>
      </c>
      <c r="C104" s="168">
        <v>0</v>
      </c>
      <c r="D104" s="168"/>
      <c r="E104" s="126"/>
    </row>
    <row r="105" spans="1:10" x14ac:dyDescent="0.3">
      <c r="A105" s="144" t="s">
        <v>465</v>
      </c>
      <c r="B105" s="145" t="s">
        <v>466</v>
      </c>
      <c r="C105" s="168">
        <v>0</v>
      </c>
      <c r="D105" s="168"/>
      <c r="E105" s="126"/>
    </row>
    <row r="106" spans="1:10" x14ac:dyDescent="0.3">
      <c r="A106" s="144" t="s">
        <v>533</v>
      </c>
      <c r="B106" s="145" t="s">
        <v>534</v>
      </c>
      <c r="C106" s="168"/>
      <c r="D106" s="168"/>
      <c r="E106" s="126"/>
    </row>
    <row r="107" spans="1:10" x14ac:dyDescent="0.3">
      <c r="A107" s="144" t="s">
        <v>535</v>
      </c>
      <c r="B107" s="145" t="s">
        <v>536</v>
      </c>
      <c r="C107" s="168">
        <f>SUM(C109:C110)</f>
        <v>162</v>
      </c>
      <c r="D107" s="168"/>
      <c r="E107" s="126"/>
    </row>
    <row r="108" spans="1:10" x14ac:dyDescent="0.3">
      <c r="A108" s="144" t="s">
        <v>52</v>
      </c>
      <c r="B108" s="145" t="s">
        <v>67</v>
      </c>
      <c r="C108" s="169"/>
      <c r="D108" s="169"/>
      <c r="E108" s="130"/>
    </row>
    <row r="109" spans="1:10" x14ac:dyDescent="0.3">
      <c r="A109" s="144" t="s">
        <v>537</v>
      </c>
      <c r="B109" s="145" t="s">
        <v>538</v>
      </c>
      <c r="C109" s="168">
        <f>ROUND(0/1000,0)</f>
        <v>0</v>
      </c>
      <c r="D109" s="168"/>
      <c r="E109" s="126"/>
    </row>
    <row r="110" spans="1:10" x14ac:dyDescent="0.3">
      <c r="A110" s="144" t="s">
        <v>539</v>
      </c>
      <c r="B110" s="145" t="s">
        <v>540</v>
      </c>
      <c r="C110" s="168">
        <f>ROUND(T37/1000,0)</f>
        <v>162</v>
      </c>
      <c r="D110" s="168"/>
      <c r="E110" s="126"/>
      <c r="F110" s="127">
        <f>'ОПУ UDC'!D109</f>
        <v>62096</v>
      </c>
      <c r="G110" s="127">
        <f>F110-C110</f>
        <v>61934</v>
      </c>
    </row>
    <row r="111" spans="1:10" x14ac:dyDescent="0.3">
      <c r="A111" s="146" t="s">
        <v>541</v>
      </c>
      <c r="B111" s="147" t="s">
        <v>542</v>
      </c>
      <c r="C111" s="170">
        <f>C96+C100+C101+C103+C106+C107</f>
        <v>69362</v>
      </c>
      <c r="D111" s="170"/>
      <c r="E111" s="137"/>
    </row>
    <row r="112" spans="1:10" x14ac:dyDescent="0.3">
      <c r="A112" s="148" t="s">
        <v>543</v>
      </c>
      <c r="B112" s="147" t="s">
        <v>544</v>
      </c>
      <c r="C112" s="170">
        <f>C94+C111</f>
        <v>69439</v>
      </c>
      <c r="D112" s="170"/>
      <c r="E112" s="137"/>
      <c r="J112" s="376" t="e">
        <f>C60-C94</f>
        <v>#REF!</v>
      </c>
    </row>
    <row r="113" spans="1:9" x14ac:dyDescent="0.3">
      <c r="C113" s="149" t="e">
        <f>C60-C112</f>
        <v>#REF!</v>
      </c>
      <c r="D113" s="149"/>
      <c r="E113" s="150"/>
    </row>
    <row r="114" spans="1:9" x14ac:dyDescent="0.3">
      <c r="A114" s="95" t="s">
        <v>257</v>
      </c>
      <c r="C114" s="96"/>
      <c r="D114" s="96"/>
    </row>
    <row r="115" spans="1:9" x14ac:dyDescent="0.3">
      <c r="A115" s="404" t="s">
        <v>710</v>
      </c>
      <c r="B115" s="405"/>
      <c r="C115" s="405"/>
      <c r="D115" s="405"/>
      <c r="E115" s="93"/>
    </row>
    <row r="117" spans="1:9" ht="18" x14ac:dyDescent="0.35">
      <c r="A117" s="76" t="s">
        <v>430</v>
      </c>
      <c r="B117" s="78" t="s">
        <v>714</v>
      </c>
      <c r="C117" s="79"/>
      <c r="D117" s="80"/>
      <c r="E117" s="80"/>
      <c r="F117" s="91"/>
      <c r="G117" s="92"/>
    </row>
    <row r="118" spans="1:9" ht="18" x14ac:dyDescent="0.35">
      <c r="A118" s="76" t="s">
        <v>431</v>
      </c>
      <c r="B118" s="407" t="s">
        <v>719</v>
      </c>
      <c r="C118" s="407"/>
      <c r="D118" s="407"/>
      <c r="E118" s="80"/>
      <c r="F118" s="91"/>
      <c r="G118" s="92"/>
    </row>
    <row r="119" spans="1:9" ht="18" x14ac:dyDescent="0.35">
      <c r="A119" s="76" t="s">
        <v>432</v>
      </c>
      <c r="B119" s="78" t="s">
        <v>720</v>
      </c>
      <c r="C119" s="79"/>
      <c r="D119" s="80"/>
      <c r="E119" s="80"/>
      <c r="F119" s="91"/>
      <c r="G119" s="92"/>
    </row>
    <row r="120" spans="1:9" ht="18" x14ac:dyDescent="0.35">
      <c r="A120" s="76" t="s">
        <v>433</v>
      </c>
      <c r="B120" s="82"/>
      <c r="C120" s="79"/>
      <c r="D120" s="80"/>
      <c r="E120" s="80"/>
      <c r="F120" s="91"/>
      <c r="G120" s="92"/>
    </row>
    <row r="121" spans="1:9" x14ac:dyDescent="0.3">
      <c r="A121" s="83"/>
      <c r="B121" s="77"/>
      <c r="C121" s="77"/>
      <c r="D121" s="77"/>
      <c r="E121" s="77"/>
      <c r="F121" s="77"/>
      <c r="G121" s="77"/>
    </row>
    <row r="122" spans="1:9" ht="30" x14ac:dyDescent="0.3">
      <c r="A122" s="76" t="s">
        <v>256</v>
      </c>
      <c r="B122" s="90" t="s">
        <v>328</v>
      </c>
      <c r="C122" s="84"/>
      <c r="D122" s="85"/>
      <c r="E122" s="85"/>
      <c r="F122" s="76"/>
      <c r="G122" s="91"/>
      <c r="H122" s="103"/>
      <c r="I122" s="91"/>
    </row>
    <row r="123" spans="1:9" ht="18" x14ac:dyDescent="0.35">
      <c r="A123" s="85"/>
      <c r="B123" s="260"/>
      <c r="C123" s="85"/>
      <c r="D123" s="85"/>
      <c r="E123" s="85"/>
      <c r="F123" s="151"/>
      <c r="G123" s="91"/>
      <c r="H123" s="103"/>
      <c r="I123" s="91"/>
    </row>
    <row r="124" spans="1:9" ht="30.75" x14ac:dyDescent="0.35">
      <c r="A124" s="90" t="s">
        <v>434</v>
      </c>
      <c r="B124" s="90" t="str">
        <f>B122</f>
        <v>Старикова-Тлеухан М.В.</v>
      </c>
      <c r="C124" s="84"/>
      <c r="D124" s="86" t="s">
        <v>721</v>
      </c>
      <c r="E124" s="102"/>
      <c r="F124" s="151"/>
      <c r="G124" s="91"/>
      <c r="H124" s="103"/>
      <c r="I124" s="91"/>
    </row>
    <row r="125" spans="1:9" ht="18" x14ac:dyDescent="0.35">
      <c r="A125" s="87"/>
      <c r="B125" s="76"/>
      <c r="C125" s="85"/>
      <c r="D125" s="76"/>
      <c r="E125" s="102"/>
      <c r="F125" s="151"/>
      <c r="G125" s="91"/>
      <c r="H125" s="103"/>
      <c r="I125" s="91"/>
    </row>
    <row r="126" spans="1:9" ht="18" x14ac:dyDescent="0.35">
      <c r="A126" s="90" t="s">
        <v>435</v>
      </c>
      <c r="B126" s="86" t="s">
        <v>718</v>
      </c>
      <c r="C126" s="84"/>
      <c r="D126" s="152" t="s">
        <v>720</v>
      </c>
      <c r="E126" s="102"/>
      <c r="F126" s="151"/>
      <c r="G126" s="91"/>
      <c r="H126" s="103"/>
      <c r="I126" s="91"/>
    </row>
    <row r="127" spans="1:9" x14ac:dyDescent="0.3">
      <c r="A127" s="28"/>
      <c r="B127" s="28"/>
      <c r="C127" s="28"/>
      <c r="D127" s="28"/>
      <c r="E127" s="28"/>
      <c r="F127" s="28"/>
      <c r="G127" s="28"/>
    </row>
    <row r="128" spans="1:9" x14ac:dyDescent="0.3">
      <c r="A128" s="88" t="s">
        <v>505</v>
      </c>
      <c r="B128" s="98">
        <v>45300</v>
      </c>
      <c r="C128" s="97" t="s">
        <v>9</v>
      </c>
      <c r="D128" s="28"/>
      <c r="E128" s="28"/>
      <c r="F128" s="28"/>
      <c r="G128" s="28"/>
    </row>
    <row r="129" spans="1:7" x14ac:dyDescent="0.3">
      <c r="A129" s="81"/>
      <c r="B129" s="81"/>
      <c r="C129" s="28"/>
      <c r="D129" s="28"/>
      <c r="E129" s="28"/>
      <c r="F129" s="28"/>
      <c r="G129" s="28"/>
    </row>
    <row r="130" spans="1:7" x14ac:dyDescent="0.3">
      <c r="B130" s="81"/>
      <c r="C130" s="28"/>
      <c r="D130" s="28"/>
      <c r="E130" s="28"/>
      <c r="F130" s="28"/>
      <c r="G130" s="28"/>
    </row>
  </sheetData>
  <mergeCells count="10">
    <mergeCell ref="O6:P6"/>
    <mergeCell ref="Q6:R6"/>
    <mergeCell ref="S6:T6"/>
    <mergeCell ref="B118:D118"/>
    <mergeCell ref="C1:D1"/>
    <mergeCell ref="A2:D2"/>
    <mergeCell ref="A3:D3"/>
    <mergeCell ref="F6:G6"/>
    <mergeCell ref="A115:D115"/>
    <mergeCell ref="N6:N7"/>
  </mergeCells>
  <pageMargins left="0.98425196850393704" right="0.51181102362204722" top="0.74803149606299213" bottom="0.74803149606299213" header="0.31496062992125984" footer="0.31496062992125984"/>
  <pageSetup scale="6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I130"/>
  <sheetViews>
    <sheetView topLeftCell="A98" zoomScale="90" zoomScaleNormal="90" zoomScaleSheetLayoutView="90" workbookViewId="0">
      <selection activeCell="E124" sqref="E124"/>
    </sheetView>
  </sheetViews>
  <sheetFormatPr defaultRowHeight="15" x14ac:dyDescent="0.3"/>
  <cols>
    <col min="1" max="1" width="85.140625" style="91" customWidth="1"/>
    <col min="2" max="2" width="14.28515625" style="91" customWidth="1"/>
    <col min="3" max="3" width="18.7109375" style="91" customWidth="1"/>
    <col min="4" max="4" width="19.5703125" style="91" customWidth="1"/>
    <col min="5" max="222" width="9.140625" style="91"/>
    <col min="223" max="223" width="59.85546875" style="91" customWidth="1"/>
    <col min="224" max="224" width="12.140625" style="91" customWidth="1"/>
    <col min="225" max="225" width="15.85546875" style="91" customWidth="1"/>
    <col min="226" max="226" width="17.7109375" style="91" customWidth="1"/>
    <col min="227" max="227" width="19" style="91" customWidth="1"/>
    <col min="228" max="228" width="13.5703125" style="91" customWidth="1"/>
    <col min="229" max="229" width="12" style="91" customWidth="1"/>
    <col min="230" max="478" width="9.140625" style="91"/>
    <col min="479" max="479" width="59.85546875" style="91" customWidth="1"/>
    <col min="480" max="480" width="12.140625" style="91" customWidth="1"/>
    <col min="481" max="481" width="15.85546875" style="91" customWidth="1"/>
    <col min="482" max="482" width="17.7109375" style="91" customWidth="1"/>
    <col min="483" max="483" width="19" style="91" customWidth="1"/>
    <col min="484" max="484" width="13.5703125" style="91" customWidth="1"/>
    <col min="485" max="485" width="12" style="91" customWidth="1"/>
    <col min="486" max="734" width="9.140625" style="91"/>
    <col min="735" max="735" width="59.85546875" style="91" customWidth="1"/>
    <col min="736" max="736" width="12.140625" style="91" customWidth="1"/>
    <col min="737" max="737" width="15.85546875" style="91" customWidth="1"/>
    <col min="738" max="738" width="17.7109375" style="91" customWidth="1"/>
    <col min="739" max="739" width="19" style="91" customWidth="1"/>
    <col min="740" max="740" width="13.5703125" style="91" customWidth="1"/>
    <col min="741" max="741" width="12" style="91" customWidth="1"/>
    <col min="742" max="990" width="9.140625" style="91"/>
    <col min="991" max="991" width="59.85546875" style="91" customWidth="1"/>
    <col min="992" max="992" width="12.140625" style="91" customWidth="1"/>
    <col min="993" max="993" width="15.85546875" style="91" customWidth="1"/>
    <col min="994" max="994" width="17.7109375" style="91" customWidth="1"/>
    <col min="995" max="995" width="19" style="91" customWidth="1"/>
    <col min="996" max="996" width="13.5703125" style="91" customWidth="1"/>
    <col min="997" max="997" width="12" style="91" customWidth="1"/>
    <col min="998" max="1246" width="9.140625" style="91"/>
    <col min="1247" max="1247" width="59.85546875" style="91" customWidth="1"/>
    <col min="1248" max="1248" width="12.140625" style="91" customWidth="1"/>
    <col min="1249" max="1249" width="15.85546875" style="91" customWidth="1"/>
    <col min="1250" max="1250" width="17.7109375" style="91" customWidth="1"/>
    <col min="1251" max="1251" width="19" style="91" customWidth="1"/>
    <col min="1252" max="1252" width="13.5703125" style="91" customWidth="1"/>
    <col min="1253" max="1253" width="12" style="91" customWidth="1"/>
    <col min="1254" max="1502" width="9.140625" style="91"/>
    <col min="1503" max="1503" width="59.85546875" style="91" customWidth="1"/>
    <col min="1504" max="1504" width="12.140625" style="91" customWidth="1"/>
    <col min="1505" max="1505" width="15.85546875" style="91" customWidth="1"/>
    <col min="1506" max="1506" width="17.7109375" style="91" customWidth="1"/>
    <col min="1507" max="1507" width="19" style="91" customWidth="1"/>
    <col min="1508" max="1508" width="13.5703125" style="91" customWidth="1"/>
    <col min="1509" max="1509" width="12" style="91" customWidth="1"/>
    <col min="1510" max="1758" width="9.140625" style="91"/>
    <col min="1759" max="1759" width="59.85546875" style="91" customWidth="1"/>
    <col min="1760" max="1760" width="12.140625" style="91" customWidth="1"/>
    <col min="1761" max="1761" width="15.85546875" style="91" customWidth="1"/>
    <col min="1762" max="1762" width="17.7109375" style="91" customWidth="1"/>
    <col min="1763" max="1763" width="19" style="91" customWidth="1"/>
    <col min="1764" max="1764" width="13.5703125" style="91" customWidth="1"/>
    <col min="1765" max="1765" width="12" style="91" customWidth="1"/>
    <col min="1766" max="2014" width="9.140625" style="91"/>
    <col min="2015" max="2015" width="59.85546875" style="91" customWidth="1"/>
    <col min="2016" max="2016" width="12.140625" style="91" customWidth="1"/>
    <col min="2017" max="2017" width="15.85546875" style="91" customWidth="1"/>
    <col min="2018" max="2018" width="17.7109375" style="91" customWidth="1"/>
    <col min="2019" max="2019" width="19" style="91" customWidth="1"/>
    <col min="2020" max="2020" width="13.5703125" style="91" customWidth="1"/>
    <col min="2021" max="2021" width="12" style="91" customWidth="1"/>
    <col min="2022" max="2270" width="9.140625" style="91"/>
    <col min="2271" max="2271" width="59.85546875" style="91" customWidth="1"/>
    <col min="2272" max="2272" width="12.140625" style="91" customWidth="1"/>
    <col min="2273" max="2273" width="15.85546875" style="91" customWidth="1"/>
    <col min="2274" max="2274" width="17.7109375" style="91" customWidth="1"/>
    <col min="2275" max="2275" width="19" style="91" customWidth="1"/>
    <col min="2276" max="2276" width="13.5703125" style="91" customWidth="1"/>
    <col min="2277" max="2277" width="12" style="91" customWidth="1"/>
    <col min="2278" max="2526" width="9.140625" style="91"/>
    <col min="2527" max="2527" width="59.85546875" style="91" customWidth="1"/>
    <col min="2528" max="2528" width="12.140625" style="91" customWidth="1"/>
    <col min="2529" max="2529" width="15.85546875" style="91" customWidth="1"/>
    <col min="2530" max="2530" width="17.7109375" style="91" customWidth="1"/>
    <col min="2531" max="2531" width="19" style="91" customWidth="1"/>
    <col min="2532" max="2532" width="13.5703125" style="91" customWidth="1"/>
    <col min="2533" max="2533" width="12" style="91" customWidth="1"/>
    <col min="2534" max="2782" width="9.140625" style="91"/>
    <col min="2783" max="2783" width="59.85546875" style="91" customWidth="1"/>
    <col min="2784" max="2784" width="12.140625" style="91" customWidth="1"/>
    <col min="2785" max="2785" width="15.85546875" style="91" customWidth="1"/>
    <col min="2786" max="2786" width="17.7109375" style="91" customWidth="1"/>
    <col min="2787" max="2787" width="19" style="91" customWidth="1"/>
    <col min="2788" max="2788" width="13.5703125" style="91" customWidth="1"/>
    <col min="2789" max="2789" width="12" style="91" customWidth="1"/>
    <col min="2790" max="3038" width="9.140625" style="91"/>
    <col min="3039" max="3039" width="59.85546875" style="91" customWidth="1"/>
    <col min="3040" max="3040" width="12.140625" style="91" customWidth="1"/>
    <col min="3041" max="3041" width="15.85546875" style="91" customWidth="1"/>
    <col min="3042" max="3042" width="17.7109375" style="91" customWidth="1"/>
    <col min="3043" max="3043" width="19" style="91" customWidth="1"/>
    <col min="3044" max="3044" width="13.5703125" style="91" customWidth="1"/>
    <col min="3045" max="3045" width="12" style="91" customWidth="1"/>
    <col min="3046" max="3294" width="9.140625" style="91"/>
    <col min="3295" max="3295" width="59.85546875" style="91" customWidth="1"/>
    <col min="3296" max="3296" width="12.140625" style="91" customWidth="1"/>
    <col min="3297" max="3297" width="15.85546875" style="91" customWidth="1"/>
    <col min="3298" max="3298" width="17.7109375" style="91" customWidth="1"/>
    <col min="3299" max="3299" width="19" style="91" customWidth="1"/>
    <col min="3300" max="3300" width="13.5703125" style="91" customWidth="1"/>
    <col min="3301" max="3301" width="12" style="91" customWidth="1"/>
    <col min="3302" max="3550" width="9.140625" style="91"/>
    <col min="3551" max="3551" width="59.85546875" style="91" customWidth="1"/>
    <col min="3552" max="3552" width="12.140625" style="91" customWidth="1"/>
    <col min="3553" max="3553" width="15.85546875" style="91" customWidth="1"/>
    <col min="3554" max="3554" width="17.7109375" style="91" customWidth="1"/>
    <col min="3555" max="3555" width="19" style="91" customWidth="1"/>
    <col min="3556" max="3556" width="13.5703125" style="91" customWidth="1"/>
    <col min="3557" max="3557" width="12" style="91" customWidth="1"/>
    <col min="3558" max="3806" width="9.140625" style="91"/>
    <col min="3807" max="3807" width="59.85546875" style="91" customWidth="1"/>
    <col min="3808" max="3808" width="12.140625" style="91" customWidth="1"/>
    <col min="3809" max="3809" width="15.85546875" style="91" customWidth="1"/>
    <col min="3810" max="3810" width="17.7109375" style="91" customWidth="1"/>
    <col min="3811" max="3811" width="19" style="91" customWidth="1"/>
    <col min="3812" max="3812" width="13.5703125" style="91" customWidth="1"/>
    <col min="3813" max="3813" width="12" style="91" customWidth="1"/>
    <col min="3814" max="4062" width="9.140625" style="91"/>
    <col min="4063" max="4063" width="59.85546875" style="91" customWidth="1"/>
    <col min="4064" max="4064" width="12.140625" style="91" customWidth="1"/>
    <col min="4065" max="4065" width="15.85546875" style="91" customWidth="1"/>
    <col min="4066" max="4066" width="17.7109375" style="91" customWidth="1"/>
    <col min="4067" max="4067" width="19" style="91" customWidth="1"/>
    <col min="4068" max="4068" width="13.5703125" style="91" customWidth="1"/>
    <col min="4069" max="4069" width="12" style="91" customWidth="1"/>
    <col min="4070" max="4318" width="9.140625" style="91"/>
    <col min="4319" max="4319" width="59.85546875" style="91" customWidth="1"/>
    <col min="4320" max="4320" width="12.140625" style="91" customWidth="1"/>
    <col min="4321" max="4321" width="15.85546875" style="91" customWidth="1"/>
    <col min="4322" max="4322" width="17.7109375" style="91" customWidth="1"/>
    <col min="4323" max="4323" width="19" style="91" customWidth="1"/>
    <col min="4324" max="4324" width="13.5703125" style="91" customWidth="1"/>
    <col min="4325" max="4325" width="12" style="91" customWidth="1"/>
    <col min="4326" max="4574" width="9.140625" style="91"/>
    <col min="4575" max="4575" width="59.85546875" style="91" customWidth="1"/>
    <col min="4576" max="4576" width="12.140625" style="91" customWidth="1"/>
    <col min="4577" max="4577" width="15.85546875" style="91" customWidth="1"/>
    <col min="4578" max="4578" width="17.7109375" style="91" customWidth="1"/>
    <col min="4579" max="4579" width="19" style="91" customWidth="1"/>
    <col min="4580" max="4580" width="13.5703125" style="91" customWidth="1"/>
    <col min="4581" max="4581" width="12" style="91" customWidth="1"/>
    <col min="4582" max="4830" width="9.140625" style="91"/>
    <col min="4831" max="4831" width="59.85546875" style="91" customWidth="1"/>
    <col min="4832" max="4832" width="12.140625" style="91" customWidth="1"/>
    <col min="4833" max="4833" width="15.85546875" style="91" customWidth="1"/>
    <col min="4834" max="4834" width="17.7109375" style="91" customWidth="1"/>
    <col min="4835" max="4835" width="19" style="91" customWidth="1"/>
    <col min="4836" max="4836" width="13.5703125" style="91" customWidth="1"/>
    <col min="4837" max="4837" width="12" style="91" customWidth="1"/>
    <col min="4838" max="5086" width="9.140625" style="91"/>
    <col min="5087" max="5087" width="59.85546875" style="91" customWidth="1"/>
    <col min="5088" max="5088" width="12.140625" style="91" customWidth="1"/>
    <col min="5089" max="5089" width="15.85546875" style="91" customWidth="1"/>
    <col min="5090" max="5090" width="17.7109375" style="91" customWidth="1"/>
    <col min="5091" max="5091" width="19" style="91" customWidth="1"/>
    <col min="5092" max="5092" width="13.5703125" style="91" customWidth="1"/>
    <col min="5093" max="5093" width="12" style="91" customWidth="1"/>
    <col min="5094" max="5342" width="9.140625" style="91"/>
    <col min="5343" max="5343" width="59.85546875" style="91" customWidth="1"/>
    <col min="5344" max="5344" width="12.140625" style="91" customWidth="1"/>
    <col min="5345" max="5345" width="15.85546875" style="91" customWidth="1"/>
    <col min="5346" max="5346" width="17.7109375" style="91" customWidth="1"/>
    <col min="5347" max="5347" width="19" style="91" customWidth="1"/>
    <col min="5348" max="5348" width="13.5703125" style="91" customWidth="1"/>
    <col min="5349" max="5349" width="12" style="91" customWidth="1"/>
    <col min="5350" max="5598" width="9.140625" style="91"/>
    <col min="5599" max="5599" width="59.85546875" style="91" customWidth="1"/>
    <col min="5600" max="5600" width="12.140625" style="91" customWidth="1"/>
    <col min="5601" max="5601" width="15.85546875" style="91" customWidth="1"/>
    <col min="5602" max="5602" width="17.7109375" style="91" customWidth="1"/>
    <col min="5603" max="5603" width="19" style="91" customWidth="1"/>
    <col min="5604" max="5604" width="13.5703125" style="91" customWidth="1"/>
    <col min="5605" max="5605" width="12" style="91" customWidth="1"/>
    <col min="5606" max="5854" width="9.140625" style="91"/>
    <col min="5855" max="5855" width="59.85546875" style="91" customWidth="1"/>
    <col min="5856" max="5856" width="12.140625" style="91" customWidth="1"/>
    <col min="5857" max="5857" width="15.85546875" style="91" customWidth="1"/>
    <col min="5858" max="5858" width="17.7109375" style="91" customWidth="1"/>
    <col min="5859" max="5859" width="19" style="91" customWidth="1"/>
    <col min="5860" max="5860" width="13.5703125" style="91" customWidth="1"/>
    <col min="5861" max="5861" width="12" style="91" customWidth="1"/>
    <col min="5862" max="6110" width="9.140625" style="91"/>
    <col min="6111" max="6111" width="59.85546875" style="91" customWidth="1"/>
    <col min="6112" max="6112" width="12.140625" style="91" customWidth="1"/>
    <col min="6113" max="6113" width="15.85546875" style="91" customWidth="1"/>
    <col min="6114" max="6114" width="17.7109375" style="91" customWidth="1"/>
    <col min="6115" max="6115" width="19" style="91" customWidth="1"/>
    <col min="6116" max="6116" width="13.5703125" style="91" customWidth="1"/>
    <col min="6117" max="6117" width="12" style="91" customWidth="1"/>
    <col min="6118" max="6366" width="9.140625" style="91"/>
    <col min="6367" max="6367" width="59.85546875" style="91" customWidth="1"/>
    <col min="6368" max="6368" width="12.140625" style="91" customWidth="1"/>
    <col min="6369" max="6369" width="15.85546875" style="91" customWidth="1"/>
    <col min="6370" max="6370" width="17.7109375" style="91" customWidth="1"/>
    <col min="6371" max="6371" width="19" style="91" customWidth="1"/>
    <col min="6372" max="6372" width="13.5703125" style="91" customWidth="1"/>
    <col min="6373" max="6373" width="12" style="91" customWidth="1"/>
    <col min="6374" max="6622" width="9.140625" style="91"/>
    <col min="6623" max="6623" width="59.85546875" style="91" customWidth="1"/>
    <col min="6624" max="6624" width="12.140625" style="91" customWidth="1"/>
    <col min="6625" max="6625" width="15.85546875" style="91" customWidth="1"/>
    <col min="6626" max="6626" width="17.7109375" style="91" customWidth="1"/>
    <col min="6627" max="6627" width="19" style="91" customWidth="1"/>
    <col min="6628" max="6628" width="13.5703125" style="91" customWidth="1"/>
    <col min="6629" max="6629" width="12" style="91" customWidth="1"/>
    <col min="6630" max="6878" width="9.140625" style="91"/>
    <col min="6879" max="6879" width="59.85546875" style="91" customWidth="1"/>
    <col min="6880" max="6880" width="12.140625" style="91" customWidth="1"/>
    <col min="6881" max="6881" width="15.85546875" style="91" customWidth="1"/>
    <col min="6882" max="6882" width="17.7109375" style="91" customWidth="1"/>
    <col min="6883" max="6883" width="19" style="91" customWidth="1"/>
    <col min="6884" max="6884" width="13.5703125" style="91" customWidth="1"/>
    <col min="6885" max="6885" width="12" style="91" customWidth="1"/>
    <col min="6886" max="7134" width="9.140625" style="91"/>
    <col min="7135" max="7135" width="59.85546875" style="91" customWidth="1"/>
    <col min="7136" max="7136" width="12.140625" style="91" customWidth="1"/>
    <col min="7137" max="7137" width="15.85546875" style="91" customWidth="1"/>
    <col min="7138" max="7138" width="17.7109375" style="91" customWidth="1"/>
    <col min="7139" max="7139" width="19" style="91" customWidth="1"/>
    <col min="7140" max="7140" width="13.5703125" style="91" customWidth="1"/>
    <col min="7141" max="7141" width="12" style="91" customWidth="1"/>
    <col min="7142" max="7390" width="9.140625" style="91"/>
    <col min="7391" max="7391" width="59.85546875" style="91" customWidth="1"/>
    <col min="7392" max="7392" width="12.140625" style="91" customWidth="1"/>
    <col min="7393" max="7393" width="15.85546875" style="91" customWidth="1"/>
    <col min="7394" max="7394" width="17.7109375" style="91" customWidth="1"/>
    <col min="7395" max="7395" width="19" style="91" customWidth="1"/>
    <col min="7396" max="7396" width="13.5703125" style="91" customWidth="1"/>
    <col min="7397" max="7397" width="12" style="91" customWidth="1"/>
    <col min="7398" max="7646" width="9.140625" style="91"/>
    <col min="7647" max="7647" width="59.85546875" style="91" customWidth="1"/>
    <col min="7648" max="7648" width="12.140625" style="91" customWidth="1"/>
    <col min="7649" max="7649" width="15.85546875" style="91" customWidth="1"/>
    <col min="7650" max="7650" width="17.7109375" style="91" customWidth="1"/>
    <col min="7651" max="7651" width="19" style="91" customWidth="1"/>
    <col min="7652" max="7652" width="13.5703125" style="91" customWidth="1"/>
    <col min="7653" max="7653" width="12" style="91" customWidth="1"/>
    <col min="7654" max="7902" width="9.140625" style="91"/>
    <col min="7903" max="7903" width="59.85546875" style="91" customWidth="1"/>
    <col min="7904" max="7904" width="12.140625" style="91" customWidth="1"/>
    <col min="7905" max="7905" width="15.85546875" style="91" customWidth="1"/>
    <col min="7906" max="7906" width="17.7109375" style="91" customWidth="1"/>
    <col min="7907" max="7907" width="19" style="91" customWidth="1"/>
    <col min="7908" max="7908" width="13.5703125" style="91" customWidth="1"/>
    <col min="7909" max="7909" width="12" style="91" customWidth="1"/>
    <col min="7910" max="8158" width="9.140625" style="91"/>
    <col min="8159" max="8159" width="59.85546875" style="91" customWidth="1"/>
    <col min="8160" max="8160" width="12.140625" style="91" customWidth="1"/>
    <col min="8161" max="8161" width="15.85546875" style="91" customWidth="1"/>
    <col min="8162" max="8162" width="17.7109375" style="91" customWidth="1"/>
    <col min="8163" max="8163" width="19" style="91" customWidth="1"/>
    <col min="8164" max="8164" width="13.5703125" style="91" customWidth="1"/>
    <col min="8165" max="8165" width="12" style="91" customWidth="1"/>
    <col min="8166" max="8414" width="9.140625" style="91"/>
    <col min="8415" max="8415" width="59.85546875" style="91" customWidth="1"/>
    <col min="8416" max="8416" width="12.140625" style="91" customWidth="1"/>
    <col min="8417" max="8417" width="15.85546875" style="91" customWidth="1"/>
    <col min="8418" max="8418" width="17.7109375" style="91" customWidth="1"/>
    <col min="8419" max="8419" width="19" style="91" customWidth="1"/>
    <col min="8420" max="8420" width="13.5703125" style="91" customWidth="1"/>
    <col min="8421" max="8421" width="12" style="91" customWidth="1"/>
    <col min="8422" max="8670" width="9.140625" style="91"/>
    <col min="8671" max="8671" width="59.85546875" style="91" customWidth="1"/>
    <col min="8672" max="8672" width="12.140625" style="91" customWidth="1"/>
    <col min="8673" max="8673" width="15.85546875" style="91" customWidth="1"/>
    <col min="8674" max="8674" width="17.7109375" style="91" customWidth="1"/>
    <col min="8675" max="8675" width="19" style="91" customWidth="1"/>
    <col min="8676" max="8676" width="13.5703125" style="91" customWidth="1"/>
    <col min="8677" max="8677" width="12" style="91" customWidth="1"/>
    <col min="8678" max="8926" width="9.140625" style="91"/>
    <col min="8927" max="8927" width="59.85546875" style="91" customWidth="1"/>
    <col min="8928" max="8928" width="12.140625" style="91" customWidth="1"/>
    <col min="8929" max="8929" width="15.85546875" style="91" customWidth="1"/>
    <col min="8930" max="8930" width="17.7109375" style="91" customWidth="1"/>
    <col min="8931" max="8931" width="19" style="91" customWidth="1"/>
    <col min="8932" max="8932" width="13.5703125" style="91" customWidth="1"/>
    <col min="8933" max="8933" width="12" style="91" customWidth="1"/>
    <col min="8934" max="9182" width="9.140625" style="91"/>
    <col min="9183" max="9183" width="59.85546875" style="91" customWidth="1"/>
    <col min="9184" max="9184" width="12.140625" style="91" customWidth="1"/>
    <col min="9185" max="9185" width="15.85546875" style="91" customWidth="1"/>
    <col min="9186" max="9186" width="17.7109375" style="91" customWidth="1"/>
    <col min="9187" max="9187" width="19" style="91" customWidth="1"/>
    <col min="9188" max="9188" width="13.5703125" style="91" customWidth="1"/>
    <col min="9189" max="9189" width="12" style="91" customWidth="1"/>
    <col min="9190" max="9438" width="9.140625" style="91"/>
    <col min="9439" max="9439" width="59.85546875" style="91" customWidth="1"/>
    <col min="9440" max="9440" width="12.140625" style="91" customWidth="1"/>
    <col min="9441" max="9441" width="15.85546875" style="91" customWidth="1"/>
    <col min="9442" max="9442" width="17.7109375" style="91" customWidth="1"/>
    <col min="9443" max="9443" width="19" style="91" customWidth="1"/>
    <col min="9444" max="9444" width="13.5703125" style="91" customWidth="1"/>
    <col min="9445" max="9445" width="12" style="91" customWidth="1"/>
    <col min="9446" max="9694" width="9.140625" style="91"/>
    <col min="9695" max="9695" width="59.85546875" style="91" customWidth="1"/>
    <col min="9696" max="9696" width="12.140625" style="91" customWidth="1"/>
    <col min="9697" max="9697" width="15.85546875" style="91" customWidth="1"/>
    <col min="9698" max="9698" width="17.7109375" style="91" customWidth="1"/>
    <col min="9699" max="9699" width="19" style="91" customWidth="1"/>
    <col min="9700" max="9700" width="13.5703125" style="91" customWidth="1"/>
    <col min="9701" max="9701" width="12" style="91" customWidth="1"/>
    <col min="9702" max="9950" width="9.140625" style="91"/>
    <col min="9951" max="9951" width="59.85546875" style="91" customWidth="1"/>
    <col min="9952" max="9952" width="12.140625" style="91" customWidth="1"/>
    <col min="9953" max="9953" width="15.85546875" style="91" customWidth="1"/>
    <col min="9954" max="9954" width="17.7109375" style="91" customWidth="1"/>
    <col min="9955" max="9955" width="19" style="91" customWidth="1"/>
    <col min="9956" max="9956" width="13.5703125" style="91" customWidth="1"/>
    <col min="9957" max="9957" width="12" style="91" customWidth="1"/>
    <col min="9958" max="10206" width="9.140625" style="91"/>
    <col min="10207" max="10207" width="59.85546875" style="91" customWidth="1"/>
    <col min="10208" max="10208" width="12.140625" style="91" customWidth="1"/>
    <col min="10209" max="10209" width="15.85546875" style="91" customWidth="1"/>
    <col min="10210" max="10210" width="17.7109375" style="91" customWidth="1"/>
    <col min="10211" max="10211" width="19" style="91" customWidth="1"/>
    <col min="10212" max="10212" width="13.5703125" style="91" customWidth="1"/>
    <col min="10213" max="10213" width="12" style="91" customWidth="1"/>
    <col min="10214" max="10462" width="9.140625" style="91"/>
    <col min="10463" max="10463" width="59.85546875" style="91" customWidth="1"/>
    <col min="10464" max="10464" width="12.140625" style="91" customWidth="1"/>
    <col min="10465" max="10465" width="15.85546875" style="91" customWidth="1"/>
    <col min="10466" max="10466" width="17.7109375" style="91" customWidth="1"/>
    <col min="10467" max="10467" width="19" style="91" customWidth="1"/>
    <col min="10468" max="10468" width="13.5703125" style="91" customWidth="1"/>
    <col min="10469" max="10469" width="12" style="91" customWidth="1"/>
    <col min="10470" max="10718" width="9.140625" style="91"/>
    <col min="10719" max="10719" width="59.85546875" style="91" customWidth="1"/>
    <col min="10720" max="10720" width="12.140625" style="91" customWidth="1"/>
    <col min="10721" max="10721" width="15.85546875" style="91" customWidth="1"/>
    <col min="10722" max="10722" width="17.7109375" style="91" customWidth="1"/>
    <col min="10723" max="10723" width="19" style="91" customWidth="1"/>
    <col min="10724" max="10724" width="13.5703125" style="91" customWidth="1"/>
    <col min="10725" max="10725" width="12" style="91" customWidth="1"/>
    <col min="10726" max="10974" width="9.140625" style="91"/>
    <col min="10975" max="10975" width="59.85546875" style="91" customWidth="1"/>
    <col min="10976" max="10976" width="12.140625" style="91" customWidth="1"/>
    <col min="10977" max="10977" width="15.85546875" style="91" customWidth="1"/>
    <col min="10978" max="10978" width="17.7109375" style="91" customWidth="1"/>
    <col min="10979" max="10979" width="19" style="91" customWidth="1"/>
    <col min="10980" max="10980" width="13.5703125" style="91" customWidth="1"/>
    <col min="10981" max="10981" width="12" style="91" customWidth="1"/>
    <col min="10982" max="11230" width="9.140625" style="91"/>
    <col min="11231" max="11231" width="59.85546875" style="91" customWidth="1"/>
    <col min="11232" max="11232" width="12.140625" style="91" customWidth="1"/>
    <col min="11233" max="11233" width="15.85546875" style="91" customWidth="1"/>
    <col min="11234" max="11234" width="17.7109375" style="91" customWidth="1"/>
    <col min="11235" max="11235" width="19" style="91" customWidth="1"/>
    <col min="11236" max="11236" width="13.5703125" style="91" customWidth="1"/>
    <col min="11237" max="11237" width="12" style="91" customWidth="1"/>
    <col min="11238" max="11486" width="9.140625" style="91"/>
    <col min="11487" max="11487" width="59.85546875" style="91" customWidth="1"/>
    <col min="11488" max="11488" width="12.140625" style="91" customWidth="1"/>
    <col min="11489" max="11489" width="15.85546875" style="91" customWidth="1"/>
    <col min="11490" max="11490" width="17.7109375" style="91" customWidth="1"/>
    <col min="11491" max="11491" width="19" style="91" customWidth="1"/>
    <col min="11492" max="11492" width="13.5703125" style="91" customWidth="1"/>
    <col min="11493" max="11493" width="12" style="91" customWidth="1"/>
    <col min="11494" max="11742" width="9.140625" style="91"/>
    <col min="11743" max="11743" width="59.85546875" style="91" customWidth="1"/>
    <col min="11744" max="11744" width="12.140625" style="91" customWidth="1"/>
    <col min="11745" max="11745" width="15.85546875" style="91" customWidth="1"/>
    <col min="11746" max="11746" width="17.7109375" style="91" customWidth="1"/>
    <col min="11747" max="11747" width="19" style="91" customWidth="1"/>
    <col min="11748" max="11748" width="13.5703125" style="91" customWidth="1"/>
    <col min="11749" max="11749" width="12" style="91" customWidth="1"/>
    <col min="11750" max="11998" width="9.140625" style="91"/>
    <col min="11999" max="11999" width="59.85546875" style="91" customWidth="1"/>
    <col min="12000" max="12000" width="12.140625" style="91" customWidth="1"/>
    <col min="12001" max="12001" width="15.85546875" style="91" customWidth="1"/>
    <col min="12002" max="12002" width="17.7109375" style="91" customWidth="1"/>
    <col min="12003" max="12003" width="19" style="91" customWidth="1"/>
    <col min="12004" max="12004" width="13.5703125" style="91" customWidth="1"/>
    <col min="12005" max="12005" width="12" style="91" customWidth="1"/>
    <col min="12006" max="12254" width="9.140625" style="91"/>
    <col min="12255" max="12255" width="59.85546875" style="91" customWidth="1"/>
    <col min="12256" max="12256" width="12.140625" style="91" customWidth="1"/>
    <col min="12257" max="12257" width="15.85546875" style="91" customWidth="1"/>
    <col min="12258" max="12258" width="17.7109375" style="91" customWidth="1"/>
    <col min="12259" max="12259" width="19" style="91" customWidth="1"/>
    <col min="12260" max="12260" width="13.5703125" style="91" customWidth="1"/>
    <col min="12261" max="12261" width="12" style="91" customWidth="1"/>
    <col min="12262" max="12510" width="9.140625" style="91"/>
    <col min="12511" max="12511" width="59.85546875" style="91" customWidth="1"/>
    <col min="12512" max="12512" width="12.140625" style="91" customWidth="1"/>
    <col min="12513" max="12513" width="15.85546875" style="91" customWidth="1"/>
    <col min="12514" max="12514" width="17.7109375" style="91" customWidth="1"/>
    <col min="12515" max="12515" width="19" style="91" customWidth="1"/>
    <col min="12516" max="12516" width="13.5703125" style="91" customWidth="1"/>
    <col min="12517" max="12517" width="12" style="91" customWidth="1"/>
    <col min="12518" max="12766" width="9.140625" style="91"/>
    <col min="12767" max="12767" width="59.85546875" style="91" customWidth="1"/>
    <col min="12768" max="12768" width="12.140625" style="91" customWidth="1"/>
    <col min="12769" max="12769" width="15.85546875" style="91" customWidth="1"/>
    <col min="12770" max="12770" width="17.7109375" style="91" customWidth="1"/>
    <col min="12771" max="12771" width="19" style="91" customWidth="1"/>
    <col min="12772" max="12772" width="13.5703125" style="91" customWidth="1"/>
    <col min="12773" max="12773" width="12" style="91" customWidth="1"/>
    <col min="12774" max="13022" width="9.140625" style="91"/>
    <col min="13023" max="13023" width="59.85546875" style="91" customWidth="1"/>
    <col min="13024" max="13024" width="12.140625" style="91" customWidth="1"/>
    <col min="13025" max="13025" width="15.85546875" style="91" customWidth="1"/>
    <col min="13026" max="13026" width="17.7109375" style="91" customWidth="1"/>
    <col min="13027" max="13027" width="19" style="91" customWidth="1"/>
    <col min="13028" max="13028" width="13.5703125" style="91" customWidth="1"/>
    <col min="13029" max="13029" width="12" style="91" customWidth="1"/>
    <col min="13030" max="13278" width="9.140625" style="91"/>
    <col min="13279" max="13279" width="59.85546875" style="91" customWidth="1"/>
    <col min="13280" max="13280" width="12.140625" style="91" customWidth="1"/>
    <col min="13281" max="13281" width="15.85546875" style="91" customWidth="1"/>
    <col min="13282" max="13282" width="17.7109375" style="91" customWidth="1"/>
    <col min="13283" max="13283" width="19" style="91" customWidth="1"/>
    <col min="13284" max="13284" width="13.5703125" style="91" customWidth="1"/>
    <col min="13285" max="13285" width="12" style="91" customWidth="1"/>
    <col min="13286" max="13534" width="9.140625" style="91"/>
    <col min="13535" max="13535" width="59.85546875" style="91" customWidth="1"/>
    <col min="13536" max="13536" width="12.140625" style="91" customWidth="1"/>
    <col min="13537" max="13537" width="15.85546875" style="91" customWidth="1"/>
    <col min="13538" max="13538" width="17.7109375" style="91" customWidth="1"/>
    <col min="13539" max="13539" width="19" style="91" customWidth="1"/>
    <col min="13540" max="13540" width="13.5703125" style="91" customWidth="1"/>
    <col min="13541" max="13541" width="12" style="91" customWidth="1"/>
    <col min="13542" max="13790" width="9.140625" style="91"/>
    <col min="13791" max="13791" width="59.85546875" style="91" customWidth="1"/>
    <col min="13792" max="13792" width="12.140625" style="91" customWidth="1"/>
    <col min="13793" max="13793" width="15.85546875" style="91" customWidth="1"/>
    <col min="13794" max="13794" width="17.7109375" style="91" customWidth="1"/>
    <col min="13795" max="13795" width="19" style="91" customWidth="1"/>
    <col min="13796" max="13796" width="13.5703125" style="91" customWidth="1"/>
    <col min="13797" max="13797" width="12" style="91" customWidth="1"/>
    <col min="13798" max="14046" width="9.140625" style="91"/>
    <col min="14047" max="14047" width="59.85546875" style="91" customWidth="1"/>
    <col min="14048" max="14048" width="12.140625" style="91" customWidth="1"/>
    <col min="14049" max="14049" width="15.85546875" style="91" customWidth="1"/>
    <col min="14050" max="14050" width="17.7109375" style="91" customWidth="1"/>
    <col min="14051" max="14051" width="19" style="91" customWidth="1"/>
    <col min="14052" max="14052" width="13.5703125" style="91" customWidth="1"/>
    <col min="14053" max="14053" width="12" style="91" customWidth="1"/>
    <col min="14054" max="14302" width="9.140625" style="91"/>
    <col min="14303" max="14303" width="59.85546875" style="91" customWidth="1"/>
    <col min="14304" max="14304" width="12.140625" style="91" customWidth="1"/>
    <col min="14305" max="14305" width="15.85546875" style="91" customWidth="1"/>
    <col min="14306" max="14306" width="17.7109375" style="91" customWidth="1"/>
    <col min="14307" max="14307" width="19" style="91" customWidth="1"/>
    <col min="14308" max="14308" width="13.5703125" style="91" customWidth="1"/>
    <col min="14309" max="14309" width="12" style="91" customWidth="1"/>
    <col min="14310" max="14558" width="9.140625" style="91"/>
    <col min="14559" max="14559" width="59.85546875" style="91" customWidth="1"/>
    <col min="14560" max="14560" width="12.140625" style="91" customWidth="1"/>
    <col min="14561" max="14561" width="15.85546875" style="91" customWidth="1"/>
    <col min="14562" max="14562" width="17.7109375" style="91" customWidth="1"/>
    <col min="14563" max="14563" width="19" style="91" customWidth="1"/>
    <col min="14564" max="14564" width="13.5703125" style="91" customWidth="1"/>
    <col min="14565" max="14565" width="12" style="91" customWidth="1"/>
    <col min="14566" max="14814" width="9.140625" style="91"/>
    <col min="14815" max="14815" width="59.85546875" style="91" customWidth="1"/>
    <col min="14816" max="14816" width="12.140625" style="91" customWidth="1"/>
    <col min="14817" max="14817" width="15.85546875" style="91" customWidth="1"/>
    <col min="14818" max="14818" width="17.7109375" style="91" customWidth="1"/>
    <col min="14819" max="14819" width="19" style="91" customWidth="1"/>
    <col min="14820" max="14820" width="13.5703125" style="91" customWidth="1"/>
    <col min="14821" max="14821" width="12" style="91" customWidth="1"/>
    <col min="14822" max="15070" width="9.140625" style="91"/>
    <col min="15071" max="15071" width="59.85546875" style="91" customWidth="1"/>
    <col min="15072" max="15072" width="12.140625" style="91" customWidth="1"/>
    <col min="15073" max="15073" width="15.85546875" style="91" customWidth="1"/>
    <col min="15074" max="15074" width="17.7109375" style="91" customWidth="1"/>
    <col min="15075" max="15075" width="19" style="91" customWidth="1"/>
    <col min="15076" max="15076" width="13.5703125" style="91" customWidth="1"/>
    <col min="15077" max="15077" width="12" style="91" customWidth="1"/>
    <col min="15078" max="15326" width="9.140625" style="91"/>
    <col min="15327" max="15327" width="59.85546875" style="91" customWidth="1"/>
    <col min="15328" max="15328" width="12.140625" style="91" customWidth="1"/>
    <col min="15329" max="15329" width="15.85546875" style="91" customWidth="1"/>
    <col min="15330" max="15330" width="17.7109375" style="91" customWidth="1"/>
    <col min="15331" max="15331" width="19" style="91" customWidth="1"/>
    <col min="15332" max="15332" width="13.5703125" style="91" customWidth="1"/>
    <col min="15333" max="15333" width="12" style="91" customWidth="1"/>
    <col min="15334" max="15582" width="9.140625" style="91"/>
    <col min="15583" max="15583" width="59.85546875" style="91" customWidth="1"/>
    <col min="15584" max="15584" width="12.140625" style="91" customWidth="1"/>
    <col min="15585" max="15585" width="15.85546875" style="91" customWidth="1"/>
    <col min="15586" max="15586" width="17.7109375" style="91" customWidth="1"/>
    <col min="15587" max="15587" width="19" style="91" customWidth="1"/>
    <col min="15588" max="15588" width="13.5703125" style="91" customWidth="1"/>
    <col min="15589" max="15589" width="12" style="91" customWidth="1"/>
    <col min="15590" max="15838" width="9.140625" style="91"/>
    <col min="15839" max="15839" width="59.85546875" style="91" customWidth="1"/>
    <col min="15840" max="15840" width="12.140625" style="91" customWidth="1"/>
    <col min="15841" max="15841" width="15.85546875" style="91" customWidth="1"/>
    <col min="15842" max="15842" width="17.7109375" style="91" customWidth="1"/>
    <col min="15843" max="15843" width="19" style="91" customWidth="1"/>
    <col min="15844" max="15844" width="13.5703125" style="91" customWidth="1"/>
    <col min="15845" max="15845" width="12" style="91" customWidth="1"/>
    <col min="15846" max="16094" width="9.140625" style="91"/>
    <col min="16095" max="16095" width="59.85546875" style="91" customWidth="1"/>
    <col min="16096" max="16096" width="12.140625" style="91" customWidth="1"/>
    <col min="16097" max="16097" width="15.85546875" style="91" customWidth="1"/>
    <col min="16098" max="16098" width="17.7109375" style="91" customWidth="1"/>
    <col min="16099" max="16099" width="19" style="91" customWidth="1"/>
    <col min="16100" max="16100" width="13.5703125" style="91" customWidth="1"/>
    <col min="16101" max="16101" width="12" style="91" customWidth="1"/>
    <col min="16102" max="16384" width="9.140625" style="91"/>
  </cols>
  <sheetData>
    <row r="1" spans="1:4" ht="41.25" customHeight="1" x14ac:dyDescent="0.3">
      <c r="C1" s="400" t="s">
        <v>570</v>
      </c>
      <c r="D1" s="401"/>
    </row>
    <row r="2" spans="1:4" s="95" customFormat="1" ht="18" x14ac:dyDescent="0.35">
      <c r="A2" s="402" t="s">
        <v>13</v>
      </c>
      <c r="B2" s="402"/>
      <c r="C2" s="402"/>
      <c r="D2" s="402"/>
    </row>
    <row r="3" spans="1:4" s="95" customFormat="1" ht="18" x14ac:dyDescent="0.35">
      <c r="A3" s="402" t="s">
        <v>493</v>
      </c>
      <c r="B3" s="402"/>
      <c r="C3" s="402"/>
      <c r="D3" s="402"/>
    </row>
    <row r="4" spans="1:4" s="95" customFormat="1" ht="18" x14ac:dyDescent="0.35">
      <c r="A4" s="107" t="s">
        <v>329</v>
      </c>
      <c r="B4" s="108" t="s">
        <v>725</v>
      </c>
      <c r="C4" s="108"/>
      <c r="D4" s="108"/>
    </row>
    <row r="5" spans="1:4" s="109" customFormat="1" x14ac:dyDescent="0.3">
      <c r="D5" s="110" t="s">
        <v>14</v>
      </c>
    </row>
    <row r="6" spans="1:4" ht="51" customHeight="1" x14ac:dyDescent="0.3">
      <c r="A6" s="114" t="s">
        <v>15</v>
      </c>
      <c r="B6" s="114" t="s">
        <v>16</v>
      </c>
      <c r="C6" s="114" t="s">
        <v>17</v>
      </c>
      <c r="D6" s="114" t="s">
        <v>18</v>
      </c>
    </row>
    <row r="7" spans="1:4" x14ac:dyDescent="0.3">
      <c r="A7" s="117">
        <v>1</v>
      </c>
      <c r="B7" s="117">
        <v>2</v>
      </c>
      <c r="C7" s="117">
        <v>3</v>
      </c>
      <c r="D7" s="117">
        <v>4</v>
      </c>
    </row>
    <row r="8" spans="1:4" ht="15.75" customHeight="1" x14ac:dyDescent="0.3">
      <c r="A8" s="120" t="s">
        <v>83</v>
      </c>
      <c r="B8" s="121" t="s">
        <v>67</v>
      </c>
      <c r="C8" s="122" t="s">
        <v>67</v>
      </c>
      <c r="D8" s="123" t="s">
        <v>67</v>
      </c>
    </row>
    <row r="9" spans="1:4" ht="15.75" customHeight="1" x14ac:dyDescent="0.3">
      <c r="A9" s="125" t="s">
        <v>19</v>
      </c>
      <c r="B9" s="121" t="s">
        <v>84</v>
      </c>
      <c r="C9" s="154">
        <v>76532</v>
      </c>
      <c r="D9" s="154">
        <v>14621</v>
      </c>
    </row>
    <row r="10" spans="1:4" ht="15.75" customHeight="1" x14ac:dyDescent="0.3">
      <c r="A10" s="125" t="s">
        <v>52</v>
      </c>
      <c r="B10" s="121" t="s">
        <v>67</v>
      </c>
      <c r="C10" s="155"/>
      <c r="D10" s="155"/>
    </row>
    <row r="11" spans="1:4" ht="15.75" customHeight="1" x14ac:dyDescent="0.3">
      <c r="A11" s="125" t="s">
        <v>85</v>
      </c>
      <c r="B11" s="121" t="s">
        <v>1</v>
      </c>
      <c r="C11" s="154">
        <v>0</v>
      </c>
      <c r="D11" s="154">
        <v>0</v>
      </c>
    </row>
    <row r="12" spans="1:4" ht="29.25" customHeight="1" x14ac:dyDescent="0.3">
      <c r="A12" s="125" t="s">
        <v>86</v>
      </c>
      <c r="B12" s="121" t="s">
        <v>2</v>
      </c>
      <c r="C12" s="154">
        <v>76532</v>
      </c>
      <c r="D12" s="154">
        <v>14621</v>
      </c>
    </row>
    <row r="13" spans="1:4" x14ac:dyDescent="0.3">
      <c r="A13" s="125" t="s">
        <v>20</v>
      </c>
      <c r="B13" s="121" t="s">
        <v>87</v>
      </c>
      <c r="C13" s="154">
        <v>0</v>
      </c>
      <c r="D13" s="154">
        <v>0</v>
      </c>
    </row>
    <row r="14" spans="1:4" x14ac:dyDescent="0.3">
      <c r="A14" s="125" t="s">
        <v>26</v>
      </c>
      <c r="B14" s="121" t="s">
        <v>88</v>
      </c>
      <c r="C14" s="154">
        <v>0</v>
      </c>
      <c r="D14" s="154">
        <v>0</v>
      </c>
    </row>
    <row r="15" spans="1:4" x14ac:dyDescent="0.3">
      <c r="A15" s="125" t="s">
        <v>52</v>
      </c>
      <c r="B15" s="121" t="s">
        <v>67</v>
      </c>
      <c r="C15" s="155"/>
      <c r="D15" s="155"/>
    </row>
    <row r="16" spans="1:4" x14ac:dyDescent="0.3">
      <c r="A16" s="125" t="s">
        <v>89</v>
      </c>
      <c r="B16" s="121" t="s">
        <v>5</v>
      </c>
      <c r="C16" s="154">
        <v>0</v>
      </c>
      <c r="D16" s="154">
        <v>0</v>
      </c>
    </row>
    <row r="17" spans="1:4" x14ac:dyDescent="0.3">
      <c r="A17" s="125" t="s">
        <v>25</v>
      </c>
      <c r="B17" s="121" t="s">
        <v>21</v>
      </c>
      <c r="C17" s="154">
        <v>283448</v>
      </c>
      <c r="D17" s="154">
        <v>144210</v>
      </c>
    </row>
    <row r="18" spans="1:4" x14ac:dyDescent="0.3">
      <c r="A18" s="125" t="s">
        <v>52</v>
      </c>
      <c r="B18" s="121" t="s">
        <v>67</v>
      </c>
      <c r="C18" s="155"/>
      <c r="D18" s="155"/>
    </row>
    <row r="19" spans="1:4" x14ac:dyDescent="0.3">
      <c r="A19" s="125" t="s">
        <v>89</v>
      </c>
      <c r="B19" s="121" t="s">
        <v>6</v>
      </c>
      <c r="C19" s="156">
        <v>207</v>
      </c>
      <c r="D19" s="274">
        <v>120</v>
      </c>
    </row>
    <row r="20" spans="1:4" ht="30" x14ac:dyDescent="0.3">
      <c r="A20" s="125" t="s">
        <v>11</v>
      </c>
      <c r="B20" s="121" t="s">
        <v>90</v>
      </c>
      <c r="C20" s="154">
        <v>349391</v>
      </c>
      <c r="D20" s="154">
        <v>338320</v>
      </c>
    </row>
    <row r="21" spans="1:4" x14ac:dyDescent="0.3">
      <c r="A21" s="125" t="s">
        <v>52</v>
      </c>
      <c r="B21" s="121"/>
      <c r="C21" s="154"/>
      <c r="D21" s="154"/>
    </row>
    <row r="22" spans="1:4" x14ac:dyDescent="0.3">
      <c r="A22" s="125" t="s">
        <v>89</v>
      </c>
      <c r="B22" s="121" t="s">
        <v>7</v>
      </c>
      <c r="C22" s="154">
        <v>23014</v>
      </c>
      <c r="D22" s="154">
        <v>23241</v>
      </c>
    </row>
    <row r="23" spans="1:4" ht="30" x14ac:dyDescent="0.3">
      <c r="A23" s="125" t="s">
        <v>258</v>
      </c>
      <c r="B23" s="121" t="s">
        <v>91</v>
      </c>
      <c r="C23" s="154">
        <v>94305</v>
      </c>
      <c r="D23" s="154">
        <v>198301</v>
      </c>
    </row>
    <row r="24" spans="1:4" x14ac:dyDescent="0.3">
      <c r="A24" s="125" t="s">
        <v>52</v>
      </c>
      <c r="B24" s="121" t="s">
        <v>67</v>
      </c>
      <c r="C24" s="155"/>
      <c r="D24" s="155"/>
    </row>
    <row r="25" spans="1:4" x14ac:dyDescent="0.3">
      <c r="A25" s="125" t="s">
        <v>92</v>
      </c>
      <c r="B25" s="121" t="s">
        <v>8</v>
      </c>
      <c r="C25" s="154">
        <v>308</v>
      </c>
      <c r="D25" s="154">
        <v>8199</v>
      </c>
    </row>
    <row r="26" spans="1:4" ht="30" x14ac:dyDescent="0.3">
      <c r="A26" s="125" t="s">
        <v>259</v>
      </c>
      <c r="B26" s="121" t="s">
        <v>93</v>
      </c>
      <c r="C26" s="154">
        <v>321662</v>
      </c>
      <c r="D26" s="154">
        <v>442656</v>
      </c>
    </row>
    <row r="27" spans="1:4" x14ac:dyDescent="0.3">
      <c r="A27" s="125" t="s">
        <v>52</v>
      </c>
      <c r="B27" s="121" t="s">
        <v>67</v>
      </c>
      <c r="C27" s="155"/>
      <c r="D27" s="155"/>
    </row>
    <row r="28" spans="1:4" x14ac:dyDescent="0.3">
      <c r="A28" s="125" t="s">
        <v>92</v>
      </c>
      <c r="B28" s="121" t="s">
        <v>23</v>
      </c>
      <c r="C28" s="154">
        <v>1069</v>
      </c>
      <c r="D28" s="154">
        <v>7256</v>
      </c>
    </row>
    <row r="29" spans="1:4" x14ac:dyDescent="0.3">
      <c r="A29" s="125" t="s">
        <v>27</v>
      </c>
      <c r="B29" s="121" t="s">
        <v>94</v>
      </c>
      <c r="C29" s="154">
        <v>0</v>
      </c>
      <c r="D29" s="154">
        <v>0</v>
      </c>
    </row>
    <row r="30" spans="1:4" x14ac:dyDescent="0.3">
      <c r="A30" s="125" t="s">
        <v>28</v>
      </c>
      <c r="B30" s="121" t="s">
        <v>95</v>
      </c>
      <c r="C30" s="154">
        <v>69200</v>
      </c>
      <c r="D30" s="154">
        <v>69200</v>
      </c>
    </row>
    <row r="31" spans="1:4" x14ac:dyDescent="0.3">
      <c r="A31" s="125" t="s">
        <v>29</v>
      </c>
      <c r="B31" s="121" t="s">
        <v>96</v>
      </c>
      <c r="C31" s="154">
        <v>36</v>
      </c>
      <c r="D31" s="154">
        <v>93</v>
      </c>
    </row>
    <row r="32" spans="1:4" x14ac:dyDescent="0.3">
      <c r="A32" s="125" t="s">
        <v>30</v>
      </c>
      <c r="B32" s="121" t="s">
        <v>97</v>
      </c>
      <c r="C32" s="154">
        <v>0</v>
      </c>
      <c r="D32" s="154">
        <v>0</v>
      </c>
    </row>
    <row r="33" spans="1:4" x14ac:dyDescent="0.3">
      <c r="A33" s="125" t="s">
        <v>32</v>
      </c>
      <c r="B33" s="121" t="s">
        <v>98</v>
      </c>
      <c r="C33" s="154">
        <v>12658</v>
      </c>
      <c r="D33" s="154">
        <v>12958</v>
      </c>
    </row>
    <row r="34" spans="1:4" x14ac:dyDescent="0.3">
      <c r="A34" s="125" t="s">
        <v>31</v>
      </c>
      <c r="B34" s="121" t="s">
        <v>64</v>
      </c>
      <c r="C34" s="154">
        <v>5259</v>
      </c>
      <c r="D34" s="154">
        <v>5812</v>
      </c>
    </row>
    <row r="35" spans="1:4" ht="30" x14ac:dyDescent="0.3">
      <c r="A35" s="125" t="s">
        <v>438</v>
      </c>
      <c r="B35" s="121" t="s">
        <v>66</v>
      </c>
      <c r="C35" s="154">
        <v>0</v>
      </c>
      <c r="D35" s="154">
        <v>0</v>
      </c>
    </row>
    <row r="36" spans="1:4" x14ac:dyDescent="0.3">
      <c r="A36" s="125" t="s">
        <v>22</v>
      </c>
      <c r="B36" s="121" t="s">
        <v>75</v>
      </c>
      <c r="C36" s="154">
        <v>104000</v>
      </c>
      <c r="D36" s="154">
        <v>56000</v>
      </c>
    </row>
    <row r="37" spans="1:4" x14ac:dyDescent="0.3">
      <c r="A37" s="125" t="s">
        <v>99</v>
      </c>
      <c r="B37" s="121" t="s">
        <v>77</v>
      </c>
      <c r="C37" s="156">
        <v>18899</v>
      </c>
      <c r="D37" s="274">
        <v>19234</v>
      </c>
    </row>
    <row r="38" spans="1:4" x14ac:dyDescent="0.3">
      <c r="A38" s="125" t="s">
        <v>52</v>
      </c>
      <c r="B38" s="121" t="s">
        <v>67</v>
      </c>
      <c r="C38" s="155"/>
      <c r="D38" s="155"/>
    </row>
    <row r="39" spans="1:4" x14ac:dyDescent="0.3">
      <c r="A39" s="125" t="s">
        <v>100</v>
      </c>
      <c r="B39" s="121" t="s">
        <v>118</v>
      </c>
      <c r="C39" s="157">
        <v>0</v>
      </c>
      <c r="D39" s="275">
        <v>0</v>
      </c>
    </row>
    <row r="40" spans="1:4" x14ac:dyDescent="0.3">
      <c r="A40" s="125" t="s">
        <v>102</v>
      </c>
      <c r="B40" s="133" t="s">
        <v>439</v>
      </c>
      <c r="C40" s="154"/>
      <c r="D40" s="154"/>
    </row>
    <row r="41" spans="1:4" x14ac:dyDescent="0.3">
      <c r="A41" s="125" t="s">
        <v>103</v>
      </c>
      <c r="B41" s="133" t="s">
        <v>440</v>
      </c>
      <c r="C41" s="154"/>
      <c r="D41" s="154"/>
    </row>
    <row r="42" spans="1:4" x14ac:dyDescent="0.3">
      <c r="A42" s="125" t="s">
        <v>104</v>
      </c>
      <c r="B42" s="134" t="s">
        <v>120</v>
      </c>
      <c r="C42" s="154">
        <v>1000</v>
      </c>
      <c r="D42" s="154">
        <v>200</v>
      </c>
    </row>
    <row r="43" spans="1:4" x14ac:dyDescent="0.3">
      <c r="A43" s="125" t="s">
        <v>106</v>
      </c>
      <c r="B43" s="134" t="s">
        <v>122</v>
      </c>
      <c r="C43" s="154"/>
      <c r="D43" s="154"/>
    </row>
    <row r="44" spans="1:4" x14ac:dyDescent="0.3">
      <c r="A44" s="125" t="s">
        <v>108</v>
      </c>
      <c r="B44" s="134" t="s">
        <v>124</v>
      </c>
      <c r="C44" s="154">
        <v>7702</v>
      </c>
      <c r="D44" s="154">
        <v>13254</v>
      </c>
    </row>
    <row r="45" spans="1:4" x14ac:dyDescent="0.3">
      <c r="A45" s="125" t="s">
        <v>110</v>
      </c>
      <c r="B45" s="134" t="s">
        <v>228</v>
      </c>
      <c r="C45" s="154">
        <v>10197</v>
      </c>
      <c r="D45" s="154">
        <v>5766</v>
      </c>
    </row>
    <row r="46" spans="1:4" x14ac:dyDescent="0.3">
      <c r="A46" s="125" t="s">
        <v>112</v>
      </c>
      <c r="B46" s="134" t="s">
        <v>441</v>
      </c>
      <c r="C46" s="154">
        <v>0</v>
      </c>
      <c r="D46" s="154">
        <v>0</v>
      </c>
    </row>
    <row r="47" spans="1:4" x14ac:dyDescent="0.3">
      <c r="A47" s="125" t="s">
        <v>114</v>
      </c>
      <c r="B47" s="134" t="s">
        <v>442</v>
      </c>
      <c r="C47" s="154">
        <v>0</v>
      </c>
      <c r="D47" s="154">
        <v>0</v>
      </c>
    </row>
    <row r="48" spans="1:4" x14ac:dyDescent="0.3">
      <c r="A48" s="125" t="s">
        <v>24</v>
      </c>
      <c r="B48" s="134" t="s">
        <v>443</v>
      </c>
      <c r="C48" s="154">
        <v>0</v>
      </c>
      <c r="D48" s="154">
        <v>0</v>
      </c>
    </row>
    <row r="49" spans="1:4" x14ac:dyDescent="0.3">
      <c r="A49" s="125" t="s">
        <v>115</v>
      </c>
      <c r="B49" s="134" t="s">
        <v>444</v>
      </c>
      <c r="C49" s="154">
        <v>0</v>
      </c>
      <c r="D49" s="154">
        <v>14</v>
      </c>
    </row>
    <row r="50" spans="1:4" x14ac:dyDescent="0.3">
      <c r="A50" s="125" t="s">
        <v>116</v>
      </c>
      <c r="B50" s="134" t="s">
        <v>78</v>
      </c>
      <c r="C50" s="154">
        <v>0</v>
      </c>
      <c r="D50" s="154">
        <v>0</v>
      </c>
    </row>
    <row r="51" spans="1:4" x14ac:dyDescent="0.3">
      <c r="A51" s="125" t="s">
        <v>52</v>
      </c>
      <c r="B51" s="134" t="s">
        <v>67</v>
      </c>
      <c r="C51" s="155"/>
      <c r="D51" s="155"/>
    </row>
    <row r="52" spans="1:4" x14ac:dyDescent="0.3">
      <c r="A52" s="125" t="s">
        <v>117</v>
      </c>
      <c r="B52" s="134" t="s">
        <v>445</v>
      </c>
      <c r="C52" s="154">
        <v>0</v>
      </c>
      <c r="D52" s="154">
        <v>0</v>
      </c>
    </row>
    <row r="53" spans="1:4" x14ac:dyDescent="0.3">
      <c r="A53" s="125" t="s">
        <v>119</v>
      </c>
      <c r="B53" s="134" t="s">
        <v>446</v>
      </c>
      <c r="C53" s="154">
        <v>0</v>
      </c>
      <c r="D53" s="154">
        <v>0</v>
      </c>
    </row>
    <row r="54" spans="1:4" x14ac:dyDescent="0.3">
      <c r="A54" s="125" t="s">
        <v>121</v>
      </c>
      <c r="B54" s="134" t="s">
        <v>447</v>
      </c>
      <c r="C54" s="154">
        <v>0</v>
      </c>
      <c r="D54" s="154">
        <v>0</v>
      </c>
    </row>
    <row r="55" spans="1:4" x14ac:dyDescent="0.3">
      <c r="A55" s="125" t="s">
        <v>123</v>
      </c>
      <c r="B55" s="134" t="s">
        <v>448</v>
      </c>
      <c r="C55" s="154">
        <v>0</v>
      </c>
      <c r="D55" s="154">
        <v>0</v>
      </c>
    </row>
    <row r="56" spans="1:4" x14ac:dyDescent="0.3">
      <c r="A56" s="125" t="s">
        <v>255</v>
      </c>
      <c r="B56" s="134" t="s">
        <v>79</v>
      </c>
      <c r="C56" s="154">
        <v>0</v>
      </c>
      <c r="D56" s="154">
        <v>0</v>
      </c>
    </row>
    <row r="57" spans="1:4" x14ac:dyDescent="0.3">
      <c r="A57" s="125" t="s">
        <v>33</v>
      </c>
      <c r="B57" s="134" t="s">
        <v>80</v>
      </c>
      <c r="C57" s="154">
        <v>789</v>
      </c>
      <c r="D57" s="154">
        <v>789</v>
      </c>
    </row>
    <row r="58" spans="1:4" x14ac:dyDescent="0.3">
      <c r="A58" s="125" t="s">
        <v>125</v>
      </c>
      <c r="B58" s="134" t="s">
        <v>126</v>
      </c>
      <c r="C58" s="154">
        <v>6535</v>
      </c>
      <c r="D58" s="154">
        <v>15038</v>
      </c>
    </row>
    <row r="59" spans="1:4" x14ac:dyDescent="0.3">
      <c r="A59" s="125" t="s">
        <v>34</v>
      </c>
      <c r="B59" s="134" t="s">
        <v>128</v>
      </c>
      <c r="C59" s="154">
        <v>0</v>
      </c>
      <c r="D59" s="154">
        <v>0</v>
      </c>
    </row>
    <row r="60" spans="1:4" ht="15.75" customHeight="1" x14ac:dyDescent="0.3">
      <c r="A60" s="135" t="s">
        <v>127</v>
      </c>
      <c r="B60" s="136" t="s">
        <v>129</v>
      </c>
      <c r="C60" s="158">
        <v>1342714</v>
      </c>
      <c r="D60" s="276">
        <v>1317232</v>
      </c>
    </row>
    <row r="61" spans="1:4" ht="15.75" customHeight="1" x14ac:dyDescent="0.3">
      <c r="A61" s="120" t="s">
        <v>35</v>
      </c>
      <c r="B61" s="134" t="s">
        <v>67</v>
      </c>
      <c r="C61" s="159"/>
      <c r="D61" s="159"/>
    </row>
    <row r="62" spans="1:4" x14ac:dyDescent="0.3">
      <c r="A62" s="125" t="s">
        <v>37</v>
      </c>
      <c r="B62" s="134">
        <v>23</v>
      </c>
      <c r="C62" s="160"/>
      <c r="D62" s="160"/>
    </row>
    <row r="63" spans="1:4" x14ac:dyDescent="0.3">
      <c r="A63" s="125" t="s">
        <v>36</v>
      </c>
      <c r="B63" s="134">
        <v>24</v>
      </c>
      <c r="C63" s="160">
        <v>0</v>
      </c>
      <c r="D63" s="160">
        <v>0</v>
      </c>
    </row>
    <row r="64" spans="1:4" x14ac:dyDescent="0.3">
      <c r="A64" s="125" t="s">
        <v>131</v>
      </c>
      <c r="B64" s="134">
        <v>25</v>
      </c>
      <c r="C64" s="160">
        <v>0</v>
      </c>
      <c r="D64" s="160">
        <v>0</v>
      </c>
    </row>
    <row r="65" spans="1:4" x14ac:dyDescent="0.3">
      <c r="A65" s="125" t="s">
        <v>40</v>
      </c>
      <c r="B65" s="134">
        <v>26</v>
      </c>
      <c r="C65" s="160">
        <v>0</v>
      </c>
      <c r="D65" s="160">
        <v>0</v>
      </c>
    </row>
    <row r="66" spans="1:4" x14ac:dyDescent="0.3">
      <c r="A66" s="125" t="s">
        <v>39</v>
      </c>
      <c r="B66" s="134">
        <v>27</v>
      </c>
      <c r="C66" s="160">
        <v>12514</v>
      </c>
      <c r="D66" s="160">
        <v>9545</v>
      </c>
    </row>
    <row r="67" spans="1:4" x14ac:dyDescent="0.3">
      <c r="A67" s="125" t="s">
        <v>135</v>
      </c>
      <c r="B67" s="134">
        <v>28</v>
      </c>
      <c r="C67" s="160">
        <v>7500</v>
      </c>
      <c r="D67" s="160"/>
    </row>
    <row r="68" spans="1:4" x14ac:dyDescent="0.3">
      <c r="A68" s="125" t="s">
        <v>38</v>
      </c>
      <c r="B68" s="134">
        <v>29</v>
      </c>
      <c r="C68" s="161">
        <v>18273</v>
      </c>
      <c r="D68" s="161">
        <v>7165</v>
      </c>
    </row>
    <row r="69" spans="1:4" x14ac:dyDescent="0.3">
      <c r="A69" s="125" t="s">
        <v>138</v>
      </c>
      <c r="B69" s="134">
        <v>30</v>
      </c>
      <c r="C69" s="161">
        <v>5822</v>
      </c>
      <c r="D69" s="161">
        <v>4285</v>
      </c>
    </row>
    <row r="70" spans="1:4" x14ac:dyDescent="0.3">
      <c r="A70" s="125" t="s">
        <v>52</v>
      </c>
      <c r="B70" s="134" t="s">
        <v>67</v>
      </c>
      <c r="C70" s="159"/>
      <c r="D70" s="159"/>
    </row>
    <row r="71" spans="1:4" x14ac:dyDescent="0.3">
      <c r="A71" s="125" t="s">
        <v>140</v>
      </c>
      <c r="B71" s="138" t="s">
        <v>153</v>
      </c>
      <c r="C71" s="160">
        <v>0</v>
      </c>
      <c r="D71" s="160">
        <v>0</v>
      </c>
    </row>
    <row r="72" spans="1:4" x14ac:dyDescent="0.3">
      <c r="A72" s="139" t="s">
        <v>141</v>
      </c>
      <c r="B72" s="138" t="s">
        <v>155</v>
      </c>
      <c r="C72" s="162">
        <v>827</v>
      </c>
      <c r="D72" s="167">
        <v>633</v>
      </c>
    </row>
    <row r="73" spans="1:4" x14ac:dyDescent="0.3">
      <c r="A73" s="139" t="s">
        <v>142</v>
      </c>
      <c r="B73" s="138" t="s">
        <v>157</v>
      </c>
      <c r="C73" s="162">
        <v>0</v>
      </c>
      <c r="D73" s="167">
        <v>0</v>
      </c>
    </row>
    <row r="74" spans="1:4" x14ac:dyDescent="0.3">
      <c r="A74" s="139" t="s">
        <v>143</v>
      </c>
      <c r="B74" s="138" t="s">
        <v>159</v>
      </c>
      <c r="C74" s="162">
        <v>0</v>
      </c>
      <c r="D74" s="167">
        <v>0</v>
      </c>
    </row>
    <row r="75" spans="1:4" x14ac:dyDescent="0.3">
      <c r="A75" s="139" t="s">
        <v>144</v>
      </c>
      <c r="B75" s="138" t="s">
        <v>467</v>
      </c>
      <c r="C75" s="162">
        <v>0</v>
      </c>
      <c r="D75" s="167">
        <v>0</v>
      </c>
    </row>
    <row r="76" spans="1:4" x14ac:dyDescent="0.3">
      <c r="A76" s="139" t="s">
        <v>145</v>
      </c>
      <c r="B76" s="138" t="s">
        <v>449</v>
      </c>
      <c r="C76" s="162">
        <v>0</v>
      </c>
      <c r="D76" s="167">
        <v>0</v>
      </c>
    </row>
    <row r="77" spans="1:4" x14ac:dyDescent="0.3">
      <c r="A77" s="139" t="s">
        <v>146</v>
      </c>
      <c r="B77" s="138" t="s">
        <v>450</v>
      </c>
      <c r="C77" s="162">
        <v>3308</v>
      </c>
      <c r="D77" s="167">
        <v>2175</v>
      </c>
    </row>
    <row r="78" spans="1:4" x14ac:dyDescent="0.3">
      <c r="A78" s="139" t="s">
        <v>147</v>
      </c>
      <c r="B78" s="138" t="s">
        <v>451</v>
      </c>
      <c r="C78" s="162">
        <v>887</v>
      </c>
      <c r="D78" s="167">
        <v>775</v>
      </c>
    </row>
    <row r="79" spans="1:4" x14ac:dyDescent="0.3">
      <c r="A79" s="139" t="s">
        <v>148</v>
      </c>
      <c r="B79" s="138" t="s">
        <v>452</v>
      </c>
      <c r="C79" s="162"/>
      <c r="D79" s="167"/>
    </row>
    <row r="80" spans="1:4" x14ac:dyDescent="0.3">
      <c r="A80" s="139" t="s">
        <v>149</v>
      </c>
      <c r="B80" s="138" t="s">
        <v>453</v>
      </c>
      <c r="C80" s="162">
        <v>800</v>
      </c>
      <c r="D80" s="167">
        <v>702</v>
      </c>
    </row>
    <row r="81" spans="1:4" x14ac:dyDescent="0.3">
      <c r="A81" s="139" t="s">
        <v>150</v>
      </c>
      <c r="B81" s="138" t="s">
        <v>454</v>
      </c>
      <c r="C81" s="162">
        <v>0</v>
      </c>
      <c r="D81" s="167">
        <v>0</v>
      </c>
    </row>
    <row r="82" spans="1:4" x14ac:dyDescent="0.3">
      <c r="A82" s="139" t="s">
        <v>116</v>
      </c>
      <c r="B82" s="134">
        <v>31</v>
      </c>
      <c r="C82" s="162">
        <v>0</v>
      </c>
      <c r="D82" s="167">
        <v>0</v>
      </c>
    </row>
    <row r="83" spans="1:4" x14ac:dyDescent="0.3">
      <c r="A83" s="139" t="s">
        <v>52</v>
      </c>
      <c r="B83" s="134" t="s">
        <v>67</v>
      </c>
      <c r="C83" s="163"/>
      <c r="D83" s="165"/>
    </row>
    <row r="84" spans="1:4" x14ac:dyDescent="0.3">
      <c r="A84" s="139" t="s">
        <v>152</v>
      </c>
      <c r="B84" s="134" t="s">
        <v>455</v>
      </c>
      <c r="C84" s="162">
        <v>0</v>
      </c>
      <c r="D84" s="167">
        <v>0</v>
      </c>
    </row>
    <row r="85" spans="1:4" x14ac:dyDescent="0.3">
      <c r="A85" s="139" t="s">
        <v>154</v>
      </c>
      <c r="B85" s="134" t="s">
        <v>456</v>
      </c>
      <c r="C85" s="162">
        <v>0</v>
      </c>
      <c r="D85" s="167">
        <v>0</v>
      </c>
    </row>
    <row r="86" spans="1:4" x14ac:dyDescent="0.3">
      <c r="A86" s="139" t="s">
        <v>156</v>
      </c>
      <c r="B86" s="134" t="s">
        <v>457</v>
      </c>
      <c r="C86" s="162">
        <v>0</v>
      </c>
      <c r="D86" s="167">
        <v>0</v>
      </c>
    </row>
    <row r="87" spans="1:4" x14ac:dyDescent="0.3">
      <c r="A87" s="139" t="s">
        <v>158</v>
      </c>
      <c r="B87" s="134" t="s">
        <v>458</v>
      </c>
      <c r="C87" s="162">
        <v>0</v>
      </c>
      <c r="D87" s="167">
        <v>0</v>
      </c>
    </row>
    <row r="88" spans="1:4" ht="30" x14ac:dyDescent="0.3">
      <c r="A88" s="139" t="s">
        <v>459</v>
      </c>
      <c r="B88" s="134" t="s">
        <v>41</v>
      </c>
      <c r="C88" s="162">
        <v>6846</v>
      </c>
      <c r="D88" s="167">
        <v>10246</v>
      </c>
    </row>
    <row r="89" spans="1:4" x14ac:dyDescent="0.3">
      <c r="A89" s="139" t="s">
        <v>42</v>
      </c>
      <c r="B89" s="134" t="s">
        <v>43</v>
      </c>
      <c r="C89" s="162">
        <v>0</v>
      </c>
      <c r="D89" s="167">
        <v>0</v>
      </c>
    </row>
    <row r="90" spans="1:4" x14ac:dyDescent="0.3">
      <c r="A90" s="139" t="s">
        <v>160</v>
      </c>
      <c r="B90" s="134" t="s">
        <v>45</v>
      </c>
      <c r="C90" s="162">
        <v>0</v>
      </c>
      <c r="D90" s="167">
        <v>200</v>
      </c>
    </row>
    <row r="91" spans="1:4" x14ac:dyDescent="0.3">
      <c r="A91" s="139" t="s">
        <v>161</v>
      </c>
      <c r="B91" s="134" t="s">
        <v>162</v>
      </c>
      <c r="C91" s="161">
        <v>0</v>
      </c>
      <c r="D91" s="277">
        <v>0</v>
      </c>
    </row>
    <row r="92" spans="1:4" x14ac:dyDescent="0.3">
      <c r="A92" s="139" t="s">
        <v>460</v>
      </c>
      <c r="B92" s="134" t="s">
        <v>163</v>
      </c>
      <c r="C92" s="164"/>
      <c r="D92" s="278"/>
    </row>
    <row r="93" spans="1:4" x14ac:dyDescent="0.3">
      <c r="A93" s="139" t="s">
        <v>44</v>
      </c>
      <c r="B93" s="134">
        <v>37</v>
      </c>
      <c r="C93" s="161">
        <v>0</v>
      </c>
      <c r="D93" s="277"/>
    </row>
    <row r="94" spans="1:4" ht="15.75" customHeight="1" x14ac:dyDescent="0.3">
      <c r="A94" s="140" t="s">
        <v>46</v>
      </c>
      <c r="B94" s="136">
        <v>38</v>
      </c>
      <c r="C94" s="158">
        <v>50955</v>
      </c>
      <c r="D94" s="158">
        <v>31441</v>
      </c>
    </row>
    <row r="95" spans="1:4" x14ac:dyDescent="0.3">
      <c r="A95" s="141" t="s">
        <v>47</v>
      </c>
      <c r="B95" s="142" t="s">
        <v>67</v>
      </c>
      <c r="C95" s="165"/>
      <c r="D95" s="165"/>
    </row>
    <row r="96" spans="1:4" x14ac:dyDescent="0.3">
      <c r="A96" s="143" t="s">
        <v>48</v>
      </c>
      <c r="B96" s="142" t="s">
        <v>166</v>
      </c>
      <c r="C96" s="166">
        <v>1225200</v>
      </c>
      <c r="D96" s="166">
        <v>1225200</v>
      </c>
    </row>
    <row r="97" spans="1:4" x14ac:dyDescent="0.3">
      <c r="A97" s="143" t="s">
        <v>52</v>
      </c>
      <c r="B97" s="142" t="s">
        <v>67</v>
      </c>
      <c r="C97" s="165"/>
      <c r="D97" s="165"/>
    </row>
    <row r="98" spans="1:4" x14ac:dyDescent="0.3">
      <c r="A98" s="143" t="s">
        <v>164</v>
      </c>
      <c r="B98" s="142" t="s">
        <v>461</v>
      </c>
      <c r="C98" s="166">
        <v>1225200</v>
      </c>
      <c r="D98" s="166">
        <v>1225200</v>
      </c>
    </row>
    <row r="99" spans="1:4" x14ac:dyDescent="0.3">
      <c r="A99" s="143" t="s">
        <v>165</v>
      </c>
      <c r="B99" s="142" t="s">
        <v>462</v>
      </c>
      <c r="C99" s="167">
        <v>0</v>
      </c>
      <c r="D99" s="167">
        <v>0</v>
      </c>
    </row>
    <row r="100" spans="1:4" x14ac:dyDescent="0.3">
      <c r="A100" s="143" t="s">
        <v>49</v>
      </c>
      <c r="B100" s="142" t="s">
        <v>167</v>
      </c>
      <c r="C100" s="167">
        <v>0</v>
      </c>
      <c r="D100" s="167">
        <v>0</v>
      </c>
    </row>
    <row r="101" spans="1:4" x14ac:dyDescent="0.3">
      <c r="A101" s="143" t="s">
        <v>50</v>
      </c>
      <c r="B101" s="142" t="s">
        <v>168</v>
      </c>
      <c r="C101" s="167">
        <v>0</v>
      </c>
      <c r="D101" s="167">
        <v>0</v>
      </c>
    </row>
    <row r="102" spans="1:4" x14ac:dyDescent="0.3">
      <c r="A102" s="94" t="s">
        <v>51</v>
      </c>
      <c r="B102" s="142" t="s">
        <v>169</v>
      </c>
      <c r="C102" s="167">
        <v>0</v>
      </c>
      <c r="D102" s="167">
        <v>0</v>
      </c>
    </row>
    <row r="103" spans="1:4" ht="30" x14ac:dyDescent="0.3">
      <c r="A103" s="144" t="s">
        <v>463</v>
      </c>
      <c r="B103" s="145" t="s">
        <v>170</v>
      </c>
      <c r="C103" s="397">
        <v>-339</v>
      </c>
      <c r="D103" s="162">
        <v>-211</v>
      </c>
    </row>
    <row r="104" spans="1:4" ht="30" x14ac:dyDescent="0.3">
      <c r="A104" s="144" t="s">
        <v>464</v>
      </c>
      <c r="B104" s="145" t="s">
        <v>171</v>
      </c>
      <c r="C104" s="397">
        <v>0</v>
      </c>
      <c r="D104" s="397">
        <v>0</v>
      </c>
    </row>
    <row r="105" spans="1:4" x14ac:dyDescent="0.3">
      <c r="A105" s="144" t="s">
        <v>465</v>
      </c>
      <c r="B105" s="145" t="s">
        <v>466</v>
      </c>
      <c r="C105" s="397">
        <v>0</v>
      </c>
      <c r="D105" s="397">
        <v>0</v>
      </c>
    </row>
    <row r="106" spans="1:4" x14ac:dyDescent="0.3">
      <c r="A106" s="144" t="s">
        <v>533</v>
      </c>
      <c r="B106" s="145" t="s">
        <v>534</v>
      </c>
      <c r="C106" s="397"/>
      <c r="D106" s="397"/>
    </row>
    <row r="107" spans="1:4" x14ac:dyDescent="0.3">
      <c r="A107" s="144" t="s">
        <v>535</v>
      </c>
      <c r="B107" s="145" t="s">
        <v>536</v>
      </c>
      <c r="C107" s="397">
        <v>66898</v>
      </c>
      <c r="D107" s="397">
        <v>60802</v>
      </c>
    </row>
    <row r="108" spans="1:4" x14ac:dyDescent="0.3">
      <c r="A108" s="144" t="s">
        <v>52</v>
      </c>
      <c r="B108" s="145" t="s">
        <v>67</v>
      </c>
      <c r="C108" s="398"/>
      <c r="D108" s="398"/>
    </row>
    <row r="109" spans="1:4" x14ac:dyDescent="0.3">
      <c r="A109" s="144" t="s">
        <v>537</v>
      </c>
      <c r="B109" s="145" t="s">
        <v>538</v>
      </c>
      <c r="C109" s="397">
        <v>4802</v>
      </c>
      <c r="D109" s="397">
        <v>893</v>
      </c>
    </row>
    <row r="110" spans="1:4" x14ac:dyDescent="0.3">
      <c r="A110" s="144" t="s">
        <v>539</v>
      </c>
      <c r="B110" s="145" t="s">
        <v>540</v>
      </c>
      <c r="C110" s="397">
        <v>62096</v>
      </c>
      <c r="D110" s="397">
        <v>59909</v>
      </c>
    </row>
    <row r="111" spans="1:4" x14ac:dyDescent="0.3">
      <c r="A111" s="146" t="s">
        <v>541</v>
      </c>
      <c r="B111" s="147" t="s">
        <v>542</v>
      </c>
      <c r="C111" s="399">
        <v>1291759</v>
      </c>
      <c r="D111" s="399">
        <v>1285791</v>
      </c>
    </row>
    <row r="112" spans="1:4" x14ac:dyDescent="0.3">
      <c r="A112" s="148" t="s">
        <v>543</v>
      </c>
      <c r="B112" s="147" t="s">
        <v>544</v>
      </c>
      <c r="C112" s="399">
        <v>1342714</v>
      </c>
      <c r="D112" s="399">
        <v>1317232</v>
      </c>
    </row>
    <row r="113" spans="1:4" x14ac:dyDescent="0.3">
      <c r="C113" s="149">
        <v>0</v>
      </c>
      <c r="D113" s="149"/>
    </row>
    <row r="114" spans="1:4" x14ac:dyDescent="0.3">
      <c r="A114" s="95" t="s">
        <v>257</v>
      </c>
      <c r="C114" s="96"/>
      <c r="D114" s="96"/>
    </row>
    <row r="115" spans="1:4" ht="46.5" customHeight="1" x14ac:dyDescent="0.3">
      <c r="A115" s="404"/>
      <c r="B115" s="405"/>
      <c r="C115" s="405"/>
      <c r="D115" s="405"/>
    </row>
    <row r="117" spans="1:4" x14ac:dyDescent="0.3">
      <c r="A117" s="76" t="s">
        <v>430</v>
      </c>
      <c r="B117" s="78" t="s">
        <v>493</v>
      </c>
      <c r="C117" s="79"/>
      <c r="D117" s="80"/>
    </row>
    <row r="118" spans="1:4" x14ac:dyDescent="0.3">
      <c r="A118" s="76" t="s">
        <v>431</v>
      </c>
      <c r="B118" s="78" t="s">
        <v>545</v>
      </c>
      <c r="C118" s="79"/>
      <c r="D118" s="80"/>
    </row>
    <row r="119" spans="1:4" x14ac:dyDescent="0.3">
      <c r="A119" s="76" t="s">
        <v>432</v>
      </c>
      <c r="B119" s="78" t="s">
        <v>523</v>
      </c>
      <c r="C119" s="79"/>
      <c r="D119" s="80"/>
    </row>
    <row r="120" spans="1:4" ht="18" x14ac:dyDescent="0.3">
      <c r="A120" s="76" t="s">
        <v>433</v>
      </c>
      <c r="B120" s="82" t="s">
        <v>496</v>
      </c>
      <c r="C120" s="79"/>
      <c r="D120" s="80"/>
    </row>
    <row r="121" spans="1:4" x14ac:dyDescent="0.3">
      <c r="A121" s="83"/>
      <c r="B121" s="77"/>
      <c r="C121" s="77"/>
      <c r="D121" s="77"/>
    </row>
    <row r="122" spans="1:4" ht="30" x14ac:dyDescent="0.3">
      <c r="A122" s="76" t="s">
        <v>256</v>
      </c>
      <c r="B122" s="90" t="s">
        <v>328</v>
      </c>
      <c r="C122" s="84"/>
      <c r="D122" s="85"/>
    </row>
    <row r="123" spans="1:4" x14ac:dyDescent="0.3">
      <c r="A123" s="85"/>
      <c r="B123" s="260"/>
      <c r="C123" s="85"/>
      <c r="D123" s="85"/>
    </row>
    <row r="124" spans="1:4" ht="30" x14ac:dyDescent="0.3">
      <c r="A124" s="90" t="s">
        <v>434</v>
      </c>
      <c r="B124" s="90" t="s">
        <v>328</v>
      </c>
      <c r="C124" s="84"/>
      <c r="D124" s="86" t="s">
        <v>524</v>
      </c>
    </row>
    <row r="125" spans="1:4" x14ac:dyDescent="0.3">
      <c r="A125" s="87"/>
      <c r="B125" s="76"/>
      <c r="C125" s="85"/>
      <c r="D125" s="76"/>
    </row>
    <row r="126" spans="1:4" x14ac:dyDescent="0.3">
      <c r="A126" s="90" t="s">
        <v>435</v>
      </c>
      <c r="B126" s="86" t="s">
        <v>494</v>
      </c>
      <c r="C126" s="84"/>
      <c r="D126" s="152" t="s">
        <v>523</v>
      </c>
    </row>
    <row r="127" spans="1:4" x14ac:dyDescent="0.3">
      <c r="A127" s="28"/>
      <c r="B127" s="28"/>
      <c r="C127" s="28"/>
      <c r="D127" s="28"/>
    </row>
    <row r="128" spans="1:4" x14ac:dyDescent="0.3">
      <c r="A128" s="88" t="s">
        <v>505</v>
      </c>
      <c r="B128" s="98">
        <v>45478</v>
      </c>
      <c r="C128" s="97" t="s">
        <v>9</v>
      </c>
      <c r="D128" s="28"/>
    </row>
    <row r="129" spans="1:4" x14ac:dyDescent="0.3">
      <c r="A129" s="81"/>
      <c r="B129" s="81"/>
      <c r="C129" s="28"/>
      <c r="D129" s="28"/>
    </row>
    <row r="130" spans="1:4" x14ac:dyDescent="0.3">
      <c r="B130" s="81"/>
      <c r="C130" s="28"/>
      <c r="D130" s="28"/>
    </row>
  </sheetData>
  <mergeCells count="4">
    <mergeCell ref="C1:D1"/>
    <mergeCell ref="A2:D2"/>
    <mergeCell ref="A3:D3"/>
    <mergeCell ref="A115:D115"/>
  </mergeCells>
  <hyperlinks>
    <hyperlink ref="B120" r:id="rId1" xr:uid="{96ED34A3-A0AA-4ED9-8DAA-2FF991304E1D}"/>
  </hyperlinks>
  <pageMargins left="0.98425196850393704" right="0.51181102362204722" top="0.74803149606299213" bottom="0.74803149606299213" header="0.31496062992125984" footer="0.31496062992125984"/>
  <pageSetup scale="62" fitToHeight="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5576-FAF8-451B-B270-BE452F5CF853}">
  <sheetPr>
    <tabColor theme="4" tint="0.79998168889431442"/>
    <pageSetUpPr fitToPage="1"/>
  </sheetPr>
  <dimension ref="A1:G128"/>
  <sheetViews>
    <sheetView zoomScale="80" zoomScaleNormal="80" workbookViewId="0">
      <selection activeCell="I11" sqref="I11"/>
    </sheetView>
  </sheetViews>
  <sheetFormatPr defaultRowHeight="24.75" customHeight="1" x14ac:dyDescent="0.25"/>
  <cols>
    <col min="1" max="1" width="71.5703125" style="3" customWidth="1"/>
    <col min="2" max="2" width="11.28515625" style="3" customWidth="1"/>
    <col min="3" max="5" width="16.140625" style="3" customWidth="1"/>
    <col min="6" max="6" width="16.85546875" style="3" customWidth="1"/>
    <col min="7" max="7" width="18.5703125" style="3" customWidth="1"/>
    <col min="8" max="8" width="43.85546875" style="3" customWidth="1"/>
    <col min="9" max="140" width="9.140625" style="3"/>
    <col min="141" max="141" width="57.85546875" style="3" customWidth="1"/>
    <col min="142" max="142" width="10.85546875" style="3" customWidth="1"/>
    <col min="143" max="143" width="15.28515625" style="3" customWidth="1"/>
    <col min="144" max="144" width="15.42578125" style="3" customWidth="1"/>
    <col min="145" max="145" width="16" style="3" customWidth="1"/>
    <col min="146" max="146" width="21.42578125" style="3" customWidth="1"/>
    <col min="147" max="147" width="11.42578125" style="3" customWidth="1"/>
    <col min="148" max="396" width="9.140625" style="3"/>
    <col min="397" max="397" width="57.85546875" style="3" customWidth="1"/>
    <col min="398" max="398" width="10.85546875" style="3" customWidth="1"/>
    <col min="399" max="399" width="15.28515625" style="3" customWidth="1"/>
    <col min="400" max="400" width="15.42578125" style="3" customWidth="1"/>
    <col min="401" max="401" width="16" style="3" customWidth="1"/>
    <col min="402" max="402" width="21.42578125" style="3" customWidth="1"/>
    <col min="403" max="403" width="11.42578125" style="3" customWidth="1"/>
    <col min="404" max="652" width="9.140625" style="3"/>
    <col min="653" max="653" width="57.85546875" style="3" customWidth="1"/>
    <col min="654" max="654" width="10.85546875" style="3" customWidth="1"/>
    <col min="655" max="655" width="15.28515625" style="3" customWidth="1"/>
    <col min="656" max="656" width="15.42578125" style="3" customWidth="1"/>
    <col min="657" max="657" width="16" style="3" customWidth="1"/>
    <col min="658" max="658" width="21.42578125" style="3" customWidth="1"/>
    <col min="659" max="659" width="11.42578125" style="3" customWidth="1"/>
    <col min="660" max="908" width="9.140625" style="3"/>
    <col min="909" max="909" width="57.85546875" style="3" customWidth="1"/>
    <col min="910" max="910" width="10.85546875" style="3" customWidth="1"/>
    <col min="911" max="911" width="15.28515625" style="3" customWidth="1"/>
    <col min="912" max="912" width="15.42578125" style="3" customWidth="1"/>
    <col min="913" max="913" width="16" style="3" customWidth="1"/>
    <col min="914" max="914" width="21.42578125" style="3" customWidth="1"/>
    <col min="915" max="915" width="11.42578125" style="3" customWidth="1"/>
    <col min="916" max="1164" width="9.140625" style="3"/>
    <col min="1165" max="1165" width="57.85546875" style="3" customWidth="1"/>
    <col min="1166" max="1166" width="10.85546875" style="3" customWidth="1"/>
    <col min="1167" max="1167" width="15.28515625" style="3" customWidth="1"/>
    <col min="1168" max="1168" width="15.42578125" style="3" customWidth="1"/>
    <col min="1169" max="1169" width="16" style="3" customWidth="1"/>
    <col min="1170" max="1170" width="21.42578125" style="3" customWidth="1"/>
    <col min="1171" max="1171" width="11.42578125" style="3" customWidth="1"/>
    <col min="1172" max="1420" width="9.140625" style="3"/>
    <col min="1421" max="1421" width="57.85546875" style="3" customWidth="1"/>
    <col min="1422" max="1422" width="10.85546875" style="3" customWidth="1"/>
    <col min="1423" max="1423" width="15.28515625" style="3" customWidth="1"/>
    <col min="1424" max="1424" width="15.42578125" style="3" customWidth="1"/>
    <col min="1425" max="1425" width="16" style="3" customWidth="1"/>
    <col min="1426" max="1426" width="21.42578125" style="3" customWidth="1"/>
    <col min="1427" max="1427" width="11.42578125" style="3" customWidth="1"/>
    <col min="1428" max="1676" width="9.140625" style="3"/>
    <col min="1677" max="1677" width="57.85546875" style="3" customWidth="1"/>
    <col min="1678" max="1678" width="10.85546875" style="3" customWidth="1"/>
    <col min="1679" max="1679" width="15.28515625" style="3" customWidth="1"/>
    <col min="1680" max="1680" width="15.42578125" style="3" customWidth="1"/>
    <col min="1681" max="1681" width="16" style="3" customWidth="1"/>
    <col min="1682" max="1682" width="21.42578125" style="3" customWidth="1"/>
    <col min="1683" max="1683" width="11.42578125" style="3" customWidth="1"/>
    <col min="1684" max="1932" width="9.140625" style="3"/>
    <col min="1933" max="1933" width="57.85546875" style="3" customWidth="1"/>
    <col min="1934" max="1934" width="10.85546875" style="3" customWidth="1"/>
    <col min="1935" max="1935" width="15.28515625" style="3" customWidth="1"/>
    <col min="1936" max="1936" width="15.42578125" style="3" customWidth="1"/>
    <col min="1937" max="1937" width="16" style="3" customWidth="1"/>
    <col min="1938" max="1938" width="21.42578125" style="3" customWidth="1"/>
    <col min="1939" max="1939" width="11.42578125" style="3" customWidth="1"/>
    <col min="1940" max="2188" width="9.140625" style="3"/>
    <col min="2189" max="2189" width="57.85546875" style="3" customWidth="1"/>
    <col min="2190" max="2190" width="10.85546875" style="3" customWidth="1"/>
    <col min="2191" max="2191" width="15.28515625" style="3" customWidth="1"/>
    <col min="2192" max="2192" width="15.42578125" style="3" customWidth="1"/>
    <col min="2193" max="2193" width="16" style="3" customWidth="1"/>
    <col min="2194" max="2194" width="21.42578125" style="3" customWidth="1"/>
    <col min="2195" max="2195" width="11.42578125" style="3" customWidth="1"/>
    <col min="2196" max="2444" width="9.140625" style="3"/>
    <col min="2445" max="2445" width="57.85546875" style="3" customWidth="1"/>
    <col min="2446" max="2446" width="10.85546875" style="3" customWidth="1"/>
    <col min="2447" max="2447" width="15.28515625" style="3" customWidth="1"/>
    <col min="2448" max="2448" width="15.42578125" style="3" customWidth="1"/>
    <col min="2449" max="2449" width="16" style="3" customWidth="1"/>
    <col min="2450" max="2450" width="21.42578125" style="3" customWidth="1"/>
    <col min="2451" max="2451" width="11.42578125" style="3" customWidth="1"/>
    <col min="2452" max="2700" width="9.140625" style="3"/>
    <col min="2701" max="2701" width="57.85546875" style="3" customWidth="1"/>
    <col min="2702" max="2702" width="10.85546875" style="3" customWidth="1"/>
    <col min="2703" max="2703" width="15.28515625" style="3" customWidth="1"/>
    <col min="2704" max="2704" width="15.42578125" style="3" customWidth="1"/>
    <col min="2705" max="2705" width="16" style="3" customWidth="1"/>
    <col min="2706" max="2706" width="21.42578125" style="3" customWidth="1"/>
    <col min="2707" max="2707" width="11.42578125" style="3" customWidth="1"/>
    <col min="2708" max="2956" width="9.140625" style="3"/>
    <col min="2957" max="2957" width="57.85546875" style="3" customWidth="1"/>
    <col min="2958" max="2958" width="10.85546875" style="3" customWidth="1"/>
    <col min="2959" max="2959" width="15.28515625" style="3" customWidth="1"/>
    <col min="2960" max="2960" width="15.42578125" style="3" customWidth="1"/>
    <col min="2961" max="2961" width="16" style="3" customWidth="1"/>
    <col min="2962" max="2962" width="21.42578125" style="3" customWidth="1"/>
    <col min="2963" max="2963" width="11.42578125" style="3" customWidth="1"/>
    <col min="2964" max="3212" width="9.140625" style="3"/>
    <col min="3213" max="3213" width="57.85546875" style="3" customWidth="1"/>
    <col min="3214" max="3214" width="10.85546875" style="3" customWidth="1"/>
    <col min="3215" max="3215" width="15.28515625" style="3" customWidth="1"/>
    <col min="3216" max="3216" width="15.42578125" style="3" customWidth="1"/>
    <col min="3217" max="3217" width="16" style="3" customWidth="1"/>
    <col min="3218" max="3218" width="21.42578125" style="3" customWidth="1"/>
    <col min="3219" max="3219" width="11.42578125" style="3" customWidth="1"/>
    <col min="3220" max="3468" width="9.140625" style="3"/>
    <col min="3469" max="3469" width="57.85546875" style="3" customWidth="1"/>
    <col min="3470" max="3470" width="10.85546875" style="3" customWidth="1"/>
    <col min="3471" max="3471" width="15.28515625" style="3" customWidth="1"/>
    <col min="3472" max="3472" width="15.42578125" style="3" customWidth="1"/>
    <col min="3473" max="3473" width="16" style="3" customWidth="1"/>
    <col min="3474" max="3474" width="21.42578125" style="3" customWidth="1"/>
    <col min="3475" max="3475" width="11.42578125" style="3" customWidth="1"/>
    <col min="3476" max="3724" width="9.140625" style="3"/>
    <col min="3725" max="3725" width="57.85546875" style="3" customWidth="1"/>
    <col min="3726" max="3726" width="10.85546875" style="3" customWidth="1"/>
    <col min="3727" max="3727" width="15.28515625" style="3" customWidth="1"/>
    <col min="3728" max="3728" width="15.42578125" style="3" customWidth="1"/>
    <col min="3729" max="3729" width="16" style="3" customWidth="1"/>
    <col min="3730" max="3730" width="21.42578125" style="3" customWidth="1"/>
    <col min="3731" max="3731" width="11.42578125" style="3" customWidth="1"/>
    <col min="3732" max="3980" width="9.140625" style="3"/>
    <col min="3981" max="3981" width="57.85546875" style="3" customWidth="1"/>
    <col min="3982" max="3982" width="10.85546875" style="3" customWidth="1"/>
    <col min="3983" max="3983" width="15.28515625" style="3" customWidth="1"/>
    <col min="3984" max="3984" width="15.42578125" style="3" customWidth="1"/>
    <col min="3985" max="3985" width="16" style="3" customWidth="1"/>
    <col min="3986" max="3986" width="21.42578125" style="3" customWidth="1"/>
    <col min="3987" max="3987" width="11.42578125" style="3" customWidth="1"/>
    <col min="3988" max="4236" width="9.140625" style="3"/>
    <col min="4237" max="4237" width="57.85546875" style="3" customWidth="1"/>
    <col min="4238" max="4238" width="10.85546875" style="3" customWidth="1"/>
    <col min="4239" max="4239" width="15.28515625" style="3" customWidth="1"/>
    <col min="4240" max="4240" width="15.42578125" style="3" customWidth="1"/>
    <col min="4241" max="4241" width="16" style="3" customWidth="1"/>
    <col min="4242" max="4242" width="21.42578125" style="3" customWidth="1"/>
    <col min="4243" max="4243" width="11.42578125" style="3" customWidth="1"/>
    <col min="4244" max="4492" width="9.140625" style="3"/>
    <col min="4493" max="4493" width="57.85546875" style="3" customWidth="1"/>
    <col min="4494" max="4494" width="10.85546875" style="3" customWidth="1"/>
    <col min="4495" max="4495" width="15.28515625" style="3" customWidth="1"/>
    <col min="4496" max="4496" width="15.42578125" style="3" customWidth="1"/>
    <col min="4497" max="4497" width="16" style="3" customWidth="1"/>
    <col min="4498" max="4498" width="21.42578125" style="3" customWidth="1"/>
    <col min="4499" max="4499" width="11.42578125" style="3" customWidth="1"/>
    <col min="4500" max="4748" width="9.140625" style="3"/>
    <col min="4749" max="4749" width="57.85546875" style="3" customWidth="1"/>
    <col min="4750" max="4750" width="10.85546875" style="3" customWidth="1"/>
    <col min="4751" max="4751" width="15.28515625" style="3" customWidth="1"/>
    <col min="4752" max="4752" width="15.42578125" style="3" customWidth="1"/>
    <col min="4753" max="4753" width="16" style="3" customWidth="1"/>
    <col min="4754" max="4754" width="21.42578125" style="3" customWidth="1"/>
    <col min="4755" max="4755" width="11.42578125" style="3" customWidth="1"/>
    <col min="4756" max="5004" width="9.140625" style="3"/>
    <col min="5005" max="5005" width="57.85546875" style="3" customWidth="1"/>
    <col min="5006" max="5006" width="10.85546875" style="3" customWidth="1"/>
    <col min="5007" max="5007" width="15.28515625" style="3" customWidth="1"/>
    <col min="5008" max="5008" width="15.42578125" style="3" customWidth="1"/>
    <col min="5009" max="5009" width="16" style="3" customWidth="1"/>
    <col min="5010" max="5010" width="21.42578125" style="3" customWidth="1"/>
    <col min="5011" max="5011" width="11.42578125" style="3" customWidth="1"/>
    <col min="5012" max="5260" width="9.140625" style="3"/>
    <col min="5261" max="5261" width="57.85546875" style="3" customWidth="1"/>
    <col min="5262" max="5262" width="10.85546875" style="3" customWidth="1"/>
    <col min="5263" max="5263" width="15.28515625" style="3" customWidth="1"/>
    <col min="5264" max="5264" width="15.42578125" style="3" customWidth="1"/>
    <col min="5265" max="5265" width="16" style="3" customWidth="1"/>
    <col min="5266" max="5266" width="21.42578125" style="3" customWidth="1"/>
    <col min="5267" max="5267" width="11.42578125" style="3" customWidth="1"/>
    <col min="5268" max="5516" width="9.140625" style="3"/>
    <col min="5517" max="5517" width="57.85546875" style="3" customWidth="1"/>
    <col min="5518" max="5518" width="10.85546875" style="3" customWidth="1"/>
    <col min="5519" max="5519" width="15.28515625" style="3" customWidth="1"/>
    <col min="5520" max="5520" width="15.42578125" style="3" customWidth="1"/>
    <col min="5521" max="5521" width="16" style="3" customWidth="1"/>
    <col min="5522" max="5522" width="21.42578125" style="3" customWidth="1"/>
    <col min="5523" max="5523" width="11.42578125" style="3" customWidth="1"/>
    <col min="5524" max="5772" width="9.140625" style="3"/>
    <col min="5773" max="5773" width="57.85546875" style="3" customWidth="1"/>
    <col min="5774" max="5774" width="10.85546875" style="3" customWidth="1"/>
    <col min="5775" max="5775" width="15.28515625" style="3" customWidth="1"/>
    <col min="5776" max="5776" width="15.42578125" style="3" customWidth="1"/>
    <col min="5777" max="5777" width="16" style="3" customWidth="1"/>
    <col min="5778" max="5778" width="21.42578125" style="3" customWidth="1"/>
    <col min="5779" max="5779" width="11.42578125" style="3" customWidth="1"/>
    <col min="5780" max="6028" width="9.140625" style="3"/>
    <col min="6029" max="6029" width="57.85546875" style="3" customWidth="1"/>
    <col min="6030" max="6030" width="10.85546875" style="3" customWidth="1"/>
    <col min="6031" max="6031" width="15.28515625" style="3" customWidth="1"/>
    <col min="6032" max="6032" width="15.42578125" style="3" customWidth="1"/>
    <col min="6033" max="6033" width="16" style="3" customWidth="1"/>
    <col min="6034" max="6034" width="21.42578125" style="3" customWidth="1"/>
    <col min="6035" max="6035" width="11.42578125" style="3" customWidth="1"/>
    <col min="6036" max="6284" width="9.140625" style="3"/>
    <col min="6285" max="6285" width="57.85546875" style="3" customWidth="1"/>
    <col min="6286" max="6286" width="10.85546875" style="3" customWidth="1"/>
    <col min="6287" max="6287" width="15.28515625" style="3" customWidth="1"/>
    <col min="6288" max="6288" width="15.42578125" style="3" customWidth="1"/>
    <col min="6289" max="6289" width="16" style="3" customWidth="1"/>
    <col min="6290" max="6290" width="21.42578125" style="3" customWidth="1"/>
    <col min="6291" max="6291" width="11.42578125" style="3" customWidth="1"/>
    <col min="6292" max="6540" width="9.140625" style="3"/>
    <col min="6541" max="6541" width="57.85546875" style="3" customWidth="1"/>
    <col min="6542" max="6542" width="10.85546875" style="3" customWidth="1"/>
    <col min="6543" max="6543" width="15.28515625" style="3" customWidth="1"/>
    <col min="6544" max="6544" width="15.42578125" style="3" customWidth="1"/>
    <col min="6545" max="6545" width="16" style="3" customWidth="1"/>
    <col min="6546" max="6546" width="21.42578125" style="3" customWidth="1"/>
    <col min="6547" max="6547" width="11.42578125" style="3" customWidth="1"/>
    <col min="6548" max="6796" width="9.140625" style="3"/>
    <col min="6797" max="6797" width="57.85546875" style="3" customWidth="1"/>
    <col min="6798" max="6798" width="10.85546875" style="3" customWidth="1"/>
    <col min="6799" max="6799" width="15.28515625" style="3" customWidth="1"/>
    <col min="6800" max="6800" width="15.42578125" style="3" customWidth="1"/>
    <col min="6801" max="6801" width="16" style="3" customWidth="1"/>
    <col min="6802" max="6802" width="21.42578125" style="3" customWidth="1"/>
    <col min="6803" max="6803" width="11.42578125" style="3" customWidth="1"/>
    <col min="6804" max="7052" width="9.140625" style="3"/>
    <col min="7053" max="7053" width="57.85546875" style="3" customWidth="1"/>
    <col min="7054" max="7054" width="10.85546875" style="3" customWidth="1"/>
    <col min="7055" max="7055" width="15.28515625" style="3" customWidth="1"/>
    <col min="7056" max="7056" width="15.42578125" style="3" customWidth="1"/>
    <col min="7057" max="7057" width="16" style="3" customWidth="1"/>
    <col min="7058" max="7058" width="21.42578125" style="3" customWidth="1"/>
    <col min="7059" max="7059" width="11.42578125" style="3" customWidth="1"/>
    <col min="7060" max="7308" width="9.140625" style="3"/>
    <col min="7309" max="7309" width="57.85546875" style="3" customWidth="1"/>
    <col min="7310" max="7310" width="10.85546875" style="3" customWidth="1"/>
    <col min="7311" max="7311" width="15.28515625" style="3" customWidth="1"/>
    <col min="7312" max="7312" width="15.42578125" style="3" customWidth="1"/>
    <col min="7313" max="7313" width="16" style="3" customWidth="1"/>
    <col min="7314" max="7314" width="21.42578125" style="3" customWidth="1"/>
    <col min="7315" max="7315" width="11.42578125" style="3" customWidth="1"/>
    <col min="7316" max="7564" width="9.140625" style="3"/>
    <col min="7565" max="7565" width="57.85546875" style="3" customWidth="1"/>
    <col min="7566" max="7566" width="10.85546875" style="3" customWidth="1"/>
    <col min="7567" max="7567" width="15.28515625" style="3" customWidth="1"/>
    <col min="7568" max="7568" width="15.42578125" style="3" customWidth="1"/>
    <col min="7569" max="7569" width="16" style="3" customWidth="1"/>
    <col min="7570" max="7570" width="21.42578125" style="3" customWidth="1"/>
    <col min="7571" max="7571" width="11.42578125" style="3" customWidth="1"/>
    <col min="7572" max="7820" width="9.140625" style="3"/>
    <col min="7821" max="7821" width="57.85546875" style="3" customWidth="1"/>
    <col min="7822" max="7822" width="10.85546875" style="3" customWidth="1"/>
    <col min="7823" max="7823" width="15.28515625" style="3" customWidth="1"/>
    <col min="7824" max="7824" width="15.42578125" style="3" customWidth="1"/>
    <col min="7825" max="7825" width="16" style="3" customWidth="1"/>
    <col min="7826" max="7826" width="21.42578125" style="3" customWidth="1"/>
    <col min="7827" max="7827" width="11.42578125" style="3" customWidth="1"/>
    <col min="7828" max="8076" width="9.140625" style="3"/>
    <col min="8077" max="8077" width="57.85546875" style="3" customWidth="1"/>
    <col min="8078" max="8078" width="10.85546875" style="3" customWidth="1"/>
    <col min="8079" max="8079" width="15.28515625" style="3" customWidth="1"/>
    <col min="8080" max="8080" width="15.42578125" style="3" customWidth="1"/>
    <col min="8081" max="8081" width="16" style="3" customWidth="1"/>
    <col min="8082" max="8082" width="21.42578125" style="3" customWidth="1"/>
    <col min="8083" max="8083" width="11.42578125" style="3" customWidth="1"/>
    <col min="8084" max="8332" width="9.140625" style="3"/>
    <col min="8333" max="8333" width="57.85546875" style="3" customWidth="1"/>
    <col min="8334" max="8334" width="10.85546875" style="3" customWidth="1"/>
    <col min="8335" max="8335" width="15.28515625" style="3" customWidth="1"/>
    <col min="8336" max="8336" width="15.42578125" style="3" customWidth="1"/>
    <col min="8337" max="8337" width="16" style="3" customWidth="1"/>
    <col min="8338" max="8338" width="21.42578125" style="3" customWidth="1"/>
    <col min="8339" max="8339" width="11.42578125" style="3" customWidth="1"/>
    <col min="8340" max="8588" width="9.140625" style="3"/>
    <col min="8589" max="8589" width="57.85546875" style="3" customWidth="1"/>
    <col min="8590" max="8590" width="10.85546875" style="3" customWidth="1"/>
    <col min="8591" max="8591" width="15.28515625" style="3" customWidth="1"/>
    <col min="8592" max="8592" width="15.42578125" style="3" customWidth="1"/>
    <col min="8593" max="8593" width="16" style="3" customWidth="1"/>
    <col min="8594" max="8594" width="21.42578125" style="3" customWidth="1"/>
    <col min="8595" max="8595" width="11.42578125" style="3" customWidth="1"/>
    <col min="8596" max="8844" width="9.140625" style="3"/>
    <col min="8845" max="8845" width="57.85546875" style="3" customWidth="1"/>
    <col min="8846" max="8846" width="10.85546875" style="3" customWidth="1"/>
    <col min="8847" max="8847" width="15.28515625" style="3" customWidth="1"/>
    <col min="8848" max="8848" width="15.42578125" style="3" customWidth="1"/>
    <col min="8849" max="8849" width="16" style="3" customWidth="1"/>
    <col min="8850" max="8850" width="21.42578125" style="3" customWidth="1"/>
    <col min="8851" max="8851" width="11.42578125" style="3" customWidth="1"/>
    <col min="8852" max="9100" width="9.140625" style="3"/>
    <col min="9101" max="9101" width="57.85546875" style="3" customWidth="1"/>
    <col min="9102" max="9102" width="10.85546875" style="3" customWidth="1"/>
    <col min="9103" max="9103" width="15.28515625" style="3" customWidth="1"/>
    <col min="9104" max="9104" width="15.42578125" style="3" customWidth="1"/>
    <col min="9105" max="9105" width="16" style="3" customWidth="1"/>
    <col min="9106" max="9106" width="21.42578125" style="3" customWidth="1"/>
    <col min="9107" max="9107" width="11.42578125" style="3" customWidth="1"/>
    <col min="9108" max="9356" width="9.140625" style="3"/>
    <col min="9357" max="9357" width="57.85546875" style="3" customWidth="1"/>
    <col min="9358" max="9358" width="10.85546875" style="3" customWidth="1"/>
    <col min="9359" max="9359" width="15.28515625" style="3" customWidth="1"/>
    <col min="9360" max="9360" width="15.42578125" style="3" customWidth="1"/>
    <col min="9361" max="9361" width="16" style="3" customWidth="1"/>
    <col min="9362" max="9362" width="21.42578125" style="3" customWidth="1"/>
    <col min="9363" max="9363" width="11.42578125" style="3" customWidth="1"/>
    <col min="9364" max="9612" width="9.140625" style="3"/>
    <col min="9613" max="9613" width="57.85546875" style="3" customWidth="1"/>
    <col min="9614" max="9614" width="10.85546875" style="3" customWidth="1"/>
    <col min="9615" max="9615" width="15.28515625" style="3" customWidth="1"/>
    <col min="9616" max="9616" width="15.42578125" style="3" customWidth="1"/>
    <col min="9617" max="9617" width="16" style="3" customWidth="1"/>
    <col min="9618" max="9618" width="21.42578125" style="3" customWidth="1"/>
    <col min="9619" max="9619" width="11.42578125" style="3" customWidth="1"/>
    <col min="9620" max="9868" width="9.140625" style="3"/>
    <col min="9869" max="9869" width="57.85546875" style="3" customWidth="1"/>
    <col min="9870" max="9870" width="10.85546875" style="3" customWidth="1"/>
    <col min="9871" max="9871" width="15.28515625" style="3" customWidth="1"/>
    <col min="9872" max="9872" width="15.42578125" style="3" customWidth="1"/>
    <col min="9873" max="9873" width="16" style="3" customWidth="1"/>
    <col min="9874" max="9874" width="21.42578125" style="3" customWidth="1"/>
    <col min="9875" max="9875" width="11.42578125" style="3" customWidth="1"/>
    <col min="9876" max="10124" width="9.140625" style="3"/>
    <col min="10125" max="10125" width="57.85546875" style="3" customWidth="1"/>
    <col min="10126" max="10126" width="10.85546875" style="3" customWidth="1"/>
    <col min="10127" max="10127" width="15.28515625" style="3" customWidth="1"/>
    <col min="10128" max="10128" width="15.42578125" style="3" customWidth="1"/>
    <col min="10129" max="10129" width="16" style="3" customWidth="1"/>
    <col min="10130" max="10130" width="21.42578125" style="3" customWidth="1"/>
    <col min="10131" max="10131" width="11.42578125" style="3" customWidth="1"/>
    <col min="10132" max="10380" width="9.140625" style="3"/>
    <col min="10381" max="10381" width="57.85546875" style="3" customWidth="1"/>
    <col min="10382" max="10382" width="10.85546875" style="3" customWidth="1"/>
    <col min="10383" max="10383" width="15.28515625" style="3" customWidth="1"/>
    <col min="10384" max="10384" width="15.42578125" style="3" customWidth="1"/>
    <col min="10385" max="10385" width="16" style="3" customWidth="1"/>
    <col min="10386" max="10386" width="21.42578125" style="3" customWidth="1"/>
    <col min="10387" max="10387" width="11.42578125" style="3" customWidth="1"/>
    <col min="10388" max="10636" width="9.140625" style="3"/>
    <col min="10637" max="10637" width="57.85546875" style="3" customWidth="1"/>
    <col min="10638" max="10638" width="10.85546875" style="3" customWidth="1"/>
    <col min="10639" max="10639" width="15.28515625" style="3" customWidth="1"/>
    <col min="10640" max="10640" width="15.42578125" style="3" customWidth="1"/>
    <col min="10641" max="10641" width="16" style="3" customWidth="1"/>
    <col min="10642" max="10642" width="21.42578125" style="3" customWidth="1"/>
    <col min="10643" max="10643" width="11.42578125" style="3" customWidth="1"/>
    <col min="10644" max="10892" width="9.140625" style="3"/>
    <col min="10893" max="10893" width="57.85546875" style="3" customWidth="1"/>
    <col min="10894" max="10894" width="10.85546875" style="3" customWidth="1"/>
    <col min="10895" max="10895" width="15.28515625" style="3" customWidth="1"/>
    <col min="10896" max="10896" width="15.42578125" style="3" customWidth="1"/>
    <col min="10897" max="10897" width="16" style="3" customWidth="1"/>
    <col min="10898" max="10898" width="21.42578125" style="3" customWidth="1"/>
    <col min="10899" max="10899" width="11.42578125" style="3" customWidth="1"/>
    <col min="10900" max="11148" width="9.140625" style="3"/>
    <col min="11149" max="11149" width="57.85546875" style="3" customWidth="1"/>
    <col min="11150" max="11150" width="10.85546875" style="3" customWidth="1"/>
    <col min="11151" max="11151" width="15.28515625" style="3" customWidth="1"/>
    <col min="11152" max="11152" width="15.42578125" style="3" customWidth="1"/>
    <col min="11153" max="11153" width="16" style="3" customWidth="1"/>
    <col min="11154" max="11154" width="21.42578125" style="3" customWidth="1"/>
    <col min="11155" max="11155" width="11.42578125" style="3" customWidth="1"/>
    <col min="11156" max="11404" width="9.140625" style="3"/>
    <col min="11405" max="11405" width="57.85546875" style="3" customWidth="1"/>
    <col min="11406" max="11406" width="10.85546875" style="3" customWidth="1"/>
    <col min="11407" max="11407" width="15.28515625" style="3" customWidth="1"/>
    <col min="11408" max="11408" width="15.42578125" style="3" customWidth="1"/>
    <col min="11409" max="11409" width="16" style="3" customWidth="1"/>
    <col min="11410" max="11410" width="21.42578125" style="3" customWidth="1"/>
    <col min="11411" max="11411" width="11.42578125" style="3" customWidth="1"/>
    <col min="11412" max="11660" width="9.140625" style="3"/>
    <col min="11661" max="11661" width="57.85546875" style="3" customWidth="1"/>
    <col min="11662" max="11662" width="10.85546875" style="3" customWidth="1"/>
    <col min="11663" max="11663" width="15.28515625" style="3" customWidth="1"/>
    <col min="11664" max="11664" width="15.42578125" style="3" customWidth="1"/>
    <col min="11665" max="11665" width="16" style="3" customWidth="1"/>
    <col min="11666" max="11666" width="21.42578125" style="3" customWidth="1"/>
    <col min="11667" max="11667" width="11.42578125" style="3" customWidth="1"/>
    <col min="11668" max="11916" width="9.140625" style="3"/>
    <col min="11917" max="11917" width="57.85546875" style="3" customWidth="1"/>
    <col min="11918" max="11918" width="10.85546875" style="3" customWidth="1"/>
    <col min="11919" max="11919" width="15.28515625" style="3" customWidth="1"/>
    <col min="11920" max="11920" width="15.42578125" style="3" customWidth="1"/>
    <col min="11921" max="11921" width="16" style="3" customWidth="1"/>
    <col min="11922" max="11922" width="21.42578125" style="3" customWidth="1"/>
    <col min="11923" max="11923" width="11.42578125" style="3" customWidth="1"/>
    <col min="11924" max="12172" width="9.140625" style="3"/>
    <col min="12173" max="12173" width="57.85546875" style="3" customWidth="1"/>
    <col min="12174" max="12174" width="10.85546875" style="3" customWidth="1"/>
    <col min="12175" max="12175" width="15.28515625" style="3" customWidth="1"/>
    <col min="12176" max="12176" width="15.42578125" style="3" customWidth="1"/>
    <col min="12177" max="12177" width="16" style="3" customWidth="1"/>
    <col min="12178" max="12178" width="21.42578125" style="3" customWidth="1"/>
    <col min="12179" max="12179" width="11.42578125" style="3" customWidth="1"/>
    <col min="12180" max="12428" width="9.140625" style="3"/>
    <col min="12429" max="12429" width="57.85546875" style="3" customWidth="1"/>
    <col min="12430" max="12430" width="10.85546875" style="3" customWidth="1"/>
    <col min="12431" max="12431" width="15.28515625" style="3" customWidth="1"/>
    <col min="12432" max="12432" width="15.42578125" style="3" customWidth="1"/>
    <col min="12433" max="12433" width="16" style="3" customWidth="1"/>
    <col min="12434" max="12434" width="21.42578125" style="3" customWidth="1"/>
    <col min="12435" max="12435" width="11.42578125" style="3" customWidth="1"/>
    <col min="12436" max="12684" width="9.140625" style="3"/>
    <col min="12685" max="12685" width="57.85546875" style="3" customWidth="1"/>
    <col min="12686" max="12686" width="10.85546875" style="3" customWidth="1"/>
    <col min="12687" max="12687" width="15.28515625" style="3" customWidth="1"/>
    <col min="12688" max="12688" width="15.42578125" style="3" customWidth="1"/>
    <col min="12689" max="12689" width="16" style="3" customWidth="1"/>
    <col min="12690" max="12690" width="21.42578125" style="3" customWidth="1"/>
    <col min="12691" max="12691" width="11.42578125" style="3" customWidth="1"/>
    <col min="12692" max="12940" width="9.140625" style="3"/>
    <col min="12941" max="12941" width="57.85546875" style="3" customWidth="1"/>
    <col min="12942" max="12942" width="10.85546875" style="3" customWidth="1"/>
    <col min="12943" max="12943" width="15.28515625" style="3" customWidth="1"/>
    <col min="12944" max="12944" width="15.42578125" style="3" customWidth="1"/>
    <col min="12945" max="12945" width="16" style="3" customWidth="1"/>
    <col min="12946" max="12946" width="21.42578125" style="3" customWidth="1"/>
    <col min="12947" max="12947" width="11.42578125" style="3" customWidth="1"/>
    <col min="12948" max="13196" width="9.140625" style="3"/>
    <col min="13197" max="13197" width="57.85546875" style="3" customWidth="1"/>
    <col min="13198" max="13198" width="10.85546875" style="3" customWidth="1"/>
    <col min="13199" max="13199" width="15.28515625" style="3" customWidth="1"/>
    <col min="13200" max="13200" width="15.42578125" style="3" customWidth="1"/>
    <col min="13201" max="13201" width="16" style="3" customWidth="1"/>
    <col min="13202" max="13202" width="21.42578125" style="3" customWidth="1"/>
    <col min="13203" max="13203" width="11.42578125" style="3" customWidth="1"/>
    <col min="13204" max="13452" width="9.140625" style="3"/>
    <col min="13453" max="13453" width="57.85546875" style="3" customWidth="1"/>
    <col min="13454" max="13454" width="10.85546875" style="3" customWidth="1"/>
    <col min="13455" max="13455" width="15.28515625" style="3" customWidth="1"/>
    <col min="13456" max="13456" width="15.42578125" style="3" customWidth="1"/>
    <col min="13457" max="13457" width="16" style="3" customWidth="1"/>
    <col min="13458" max="13458" width="21.42578125" style="3" customWidth="1"/>
    <col min="13459" max="13459" width="11.42578125" style="3" customWidth="1"/>
    <col min="13460" max="13708" width="9.140625" style="3"/>
    <col min="13709" max="13709" width="57.85546875" style="3" customWidth="1"/>
    <col min="13710" max="13710" width="10.85546875" style="3" customWidth="1"/>
    <col min="13711" max="13711" width="15.28515625" style="3" customWidth="1"/>
    <col min="13712" max="13712" width="15.42578125" style="3" customWidth="1"/>
    <col min="13713" max="13713" width="16" style="3" customWidth="1"/>
    <col min="13714" max="13714" width="21.42578125" style="3" customWidth="1"/>
    <col min="13715" max="13715" width="11.42578125" style="3" customWidth="1"/>
    <col min="13716" max="13964" width="9.140625" style="3"/>
    <col min="13965" max="13965" width="57.85546875" style="3" customWidth="1"/>
    <col min="13966" max="13966" width="10.85546875" style="3" customWidth="1"/>
    <col min="13967" max="13967" width="15.28515625" style="3" customWidth="1"/>
    <col min="13968" max="13968" width="15.42578125" style="3" customWidth="1"/>
    <col min="13969" max="13969" width="16" style="3" customWidth="1"/>
    <col min="13970" max="13970" width="21.42578125" style="3" customWidth="1"/>
    <col min="13971" max="13971" width="11.42578125" style="3" customWidth="1"/>
    <col min="13972" max="14220" width="9.140625" style="3"/>
    <col min="14221" max="14221" width="57.85546875" style="3" customWidth="1"/>
    <col min="14222" max="14222" width="10.85546875" style="3" customWidth="1"/>
    <col min="14223" max="14223" width="15.28515625" style="3" customWidth="1"/>
    <col min="14224" max="14224" width="15.42578125" style="3" customWidth="1"/>
    <col min="14225" max="14225" width="16" style="3" customWidth="1"/>
    <col min="14226" max="14226" width="21.42578125" style="3" customWidth="1"/>
    <col min="14227" max="14227" width="11.42578125" style="3" customWidth="1"/>
    <col min="14228" max="14476" width="9.140625" style="3"/>
    <col min="14477" max="14477" width="57.85546875" style="3" customWidth="1"/>
    <col min="14478" max="14478" width="10.85546875" style="3" customWidth="1"/>
    <col min="14479" max="14479" width="15.28515625" style="3" customWidth="1"/>
    <col min="14480" max="14480" width="15.42578125" style="3" customWidth="1"/>
    <col min="14481" max="14481" width="16" style="3" customWidth="1"/>
    <col min="14482" max="14482" width="21.42578125" style="3" customWidth="1"/>
    <col min="14483" max="14483" width="11.42578125" style="3" customWidth="1"/>
    <col min="14484" max="14732" width="9.140625" style="3"/>
    <col min="14733" max="14733" width="57.85546875" style="3" customWidth="1"/>
    <col min="14734" max="14734" width="10.85546875" style="3" customWidth="1"/>
    <col min="14735" max="14735" width="15.28515625" style="3" customWidth="1"/>
    <col min="14736" max="14736" width="15.42578125" style="3" customWidth="1"/>
    <col min="14737" max="14737" width="16" style="3" customWidth="1"/>
    <col min="14738" max="14738" width="21.42578125" style="3" customWidth="1"/>
    <col min="14739" max="14739" width="11.42578125" style="3" customWidth="1"/>
    <col min="14740" max="14988" width="9.140625" style="3"/>
    <col min="14989" max="14989" width="57.85546875" style="3" customWidth="1"/>
    <col min="14990" max="14990" width="10.85546875" style="3" customWidth="1"/>
    <col min="14991" max="14991" width="15.28515625" style="3" customWidth="1"/>
    <col min="14992" max="14992" width="15.42578125" style="3" customWidth="1"/>
    <col min="14993" max="14993" width="16" style="3" customWidth="1"/>
    <col min="14994" max="14994" width="21.42578125" style="3" customWidth="1"/>
    <col min="14995" max="14995" width="11.42578125" style="3" customWidth="1"/>
    <col min="14996" max="15244" width="9.140625" style="3"/>
    <col min="15245" max="15245" width="57.85546875" style="3" customWidth="1"/>
    <col min="15246" max="15246" width="10.85546875" style="3" customWidth="1"/>
    <col min="15247" max="15247" width="15.28515625" style="3" customWidth="1"/>
    <col min="15248" max="15248" width="15.42578125" style="3" customWidth="1"/>
    <col min="15249" max="15249" width="16" style="3" customWidth="1"/>
    <col min="15250" max="15250" width="21.42578125" style="3" customWidth="1"/>
    <col min="15251" max="15251" width="11.42578125" style="3" customWidth="1"/>
    <col min="15252" max="15500" width="9.140625" style="3"/>
    <col min="15501" max="15501" width="57.85546875" style="3" customWidth="1"/>
    <col min="15502" max="15502" width="10.85546875" style="3" customWidth="1"/>
    <col min="15503" max="15503" width="15.28515625" style="3" customWidth="1"/>
    <col min="15504" max="15504" width="15.42578125" style="3" customWidth="1"/>
    <col min="15505" max="15505" width="16" style="3" customWidth="1"/>
    <col min="15506" max="15506" width="21.42578125" style="3" customWidth="1"/>
    <col min="15507" max="15507" width="11.42578125" style="3" customWidth="1"/>
    <col min="15508" max="15756" width="9.140625" style="3"/>
    <col min="15757" max="15757" width="57.85546875" style="3" customWidth="1"/>
    <col min="15758" max="15758" width="10.85546875" style="3" customWidth="1"/>
    <col min="15759" max="15759" width="15.28515625" style="3" customWidth="1"/>
    <col min="15760" max="15760" width="15.42578125" style="3" customWidth="1"/>
    <col min="15761" max="15761" width="16" style="3" customWidth="1"/>
    <col min="15762" max="15762" width="21.42578125" style="3" customWidth="1"/>
    <col min="15763" max="15763" width="11.42578125" style="3" customWidth="1"/>
    <col min="15764" max="16012" width="9.140625" style="3"/>
    <col min="16013" max="16013" width="57.85546875" style="3" customWidth="1"/>
    <col min="16014" max="16014" width="10.85546875" style="3" customWidth="1"/>
    <col min="16015" max="16015" width="15.28515625" style="3" customWidth="1"/>
    <col min="16016" max="16016" width="15.42578125" style="3" customWidth="1"/>
    <col min="16017" max="16017" width="16" style="3" customWidth="1"/>
    <col min="16018" max="16018" width="21.42578125" style="3" customWidth="1"/>
    <col min="16019" max="16019" width="11.42578125" style="3" customWidth="1"/>
    <col min="16020" max="16384" width="9.140625" style="3"/>
  </cols>
  <sheetData>
    <row r="1" spans="1:6" ht="54" customHeight="1" x14ac:dyDescent="0.35">
      <c r="A1" s="151"/>
      <c r="B1" s="151"/>
      <c r="C1" s="151"/>
      <c r="D1" s="413" t="s">
        <v>571</v>
      </c>
      <c r="E1" s="414"/>
      <c r="F1" s="414"/>
    </row>
    <row r="2" spans="1:6" ht="31.5" customHeight="1" x14ac:dyDescent="0.35">
      <c r="A2" s="402" t="s">
        <v>53</v>
      </c>
      <c r="B2" s="402"/>
      <c r="C2" s="402"/>
      <c r="D2" s="402"/>
      <c r="E2" s="402"/>
      <c r="F2" s="402"/>
    </row>
    <row r="3" spans="1:6" ht="24.75" customHeight="1" x14ac:dyDescent="0.35">
      <c r="A3" s="415" t="str">
        <f>'Баланс UDC'!A3</f>
        <v>АО "UD Capital"</v>
      </c>
      <c r="B3" s="415"/>
      <c r="C3" s="415"/>
      <c r="D3" s="415"/>
      <c r="E3" s="415"/>
      <c r="F3" s="415"/>
    </row>
    <row r="4" spans="1:6" ht="24.75" customHeight="1" x14ac:dyDescent="0.35">
      <c r="A4" s="172" t="str">
        <f>'Баланс UDC'!A4</f>
        <v xml:space="preserve"> по состоянию на 1 </v>
      </c>
      <c r="B4" s="151" t="str">
        <f>'Баланс UDC'!B4</f>
        <v>Июля 2024 года</v>
      </c>
      <c r="C4" s="151"/>
      <c r="D4" s="151"/>
      <c r="E4" s="151"/>
      <c r="F4" s="151"/>
    </row>
    <row r="5" spans="1:6" s="4" customFormat="1" ht="24.75" customHeight="1" x14ac:dyDescent="0.35">
      <c r="A5" s="173"/>
      <c r="B5" s="173"/>
      <c r="C5" s="173"/>
      <c r="D5" s="173"/>
      <c r="E5" s="173"/>
      <c r="F5" s="174" t="s">
        <v>0</v>
      </c>
    </row>
    <row r="6" spans="1:6" ht="149.25" customHeight="1" x14ac:dyDescent="0.25">
      <c r="A6" s="176" t="s">
        <v>15</v>
      </c>
      <c r="B6" s="176" t="s">
        <v>16</v>
      </c>
      <c r="C6" s="176" t="s">
        <v>54</v>
      </c>
      <c r="D6" s="176" t="s">
        <v>55</v>
      </c>
      <c r="E6" s="177" t="s">
        <v>56</v>
      </c>
      <c r="F6" s="176" t="s">
        <v>57</v>
      </c>
    </row>
    <row r="7" spans="1:6" ht="39" customHeight="1" x14ac:dyDescent="0.35">
      <c r="A7" s="178">
        <v>1</v>
      </c>
      <c r="B7" s="178">
        <v>2</v>
      </c>
      <c r="C7" s="178">
        <v>3</v>
      </c>
      <c r="D7" s="178">
        <v>4</v>
      </c>
      <c r="E7" s="179">
        <v>5</v>
      </c>
      <c r="F7" s="178">
        <v>6</v>
      </c>
    </row>
    <row r="8" spans="1:6" ht="24.75" customHeight="1" x14ac:dyDescent="0.25">
      <c r="A8" s="180" t="s">
        <v>172</v>
      </c>
      <c r="B8" s="181" t="s">
        <v>84</v>
      </c>
      <c r="C8" s="182">
        <f>'ОПУ UDC Astana'!C8+'ОПУ UDC'!C8</f>
        <v>29692</v>
      </c>
      <c r="D8" s="182">
        <f>'ОПУ UDC Astana'!D8+'ОПУ UDC'!D8</f>
        <v>78827</v>
      </c>
      <c r="E8" s="182">
        <f>'ОПУ UDC Astana'!E8+'ОПУ UDC'!E8</f>
        <v>58825</v>
      </c>
      <c r="F8" s="182">
        <f>'ОПУ UDC Astana'!F8+'ОПУ UDC'!F8</f>
        <v>118778</v>
      </c>
    </row>
    <row r="9" spans="1:6" ht="24.75" customHeight="1" x14ac:dyDescent="0.25">
      <c r="A9" s="183" t="s">
        <v>173</v>
      </c>
      <c r="B9" s="181" t="s">
        <v>67</v>
      </c>
      <c r="C9" s="184"/>
      <c r="D9" s="185"/>
      <c r="E9" s="186"/>
      <c r="F9" s="187"/>
    </row>
    <row r="10" spans="1:6" ht="24.75" customHeight="1" x14ac:dyDescent="0.25">
      <c r="A10" s="188" t="s">
        <v>58</v>
      </c>
      <c r="B10" s="181" t="s">
        <v>1</v>
      </c>
      <c r="C10" s="189">
        <f>'ОПУ UDC Astana'!C10+'ОПУ UDC'!C10</f>
        <v>320</v>
      </c>
      <c r="D10" s="190">
        <f>'ОПУ UDC Astana'!D10+'ОПУ UDC'!D10</f>
        <v>320</v>
      </c>
      <c r="E10" s="191">
        <f>'ОПУ UDC Astana'!E10+'ОПУ UDC'!E10</f>
        <v>0</v>
      </c>
      <c r="F10" s="192">
        <f>'ОПУ UDC Astana'!F10+'ОПУ UDC'!F10</f>
        <v>0</v>
      </c>
    </row>
    <row r="11" spans="1:6" ht="24.75" customHeight="1" x14ac:dyDescent="0.25">
      <c r="A11" s="188" t="s">
        <v>59</v>
      </c>
      <c r="B11" s="181" t="s">
        <v>2</v>
      </c>
      <c r="C11" s="189">
        <f>'ОПУ UDC Astana'!C11+'ОПУ UDC'!C11</f>
        <v>16934</v>
      </c>
      <c r="D11" s="193">
        <f>'ОПУ UDC Astana'!D11+'ОПУ UDC'!D11</f>
        <v>60178</v>
      </c>
      <c r="E11" s="193">
        <f>'ОПУ UDC Astana'!E11+'ОПУ UDC'!E11</f>
        <v>39737</v>
      </c>
      <c r="F11" s="193">
        <f>'ОПУ UDC Astana'!F11+'ОПУ UDC'!F11</f>
        <v>71963</v>
      </c>
    </row>
    <row r="12" spans="1:6" ht="24.75" customHeight="1" x14ac:dyDescent="0.25">
      <c r="A12" s="196" t="s">
        <v>173</v>
      </c>
      <c r="B12" s="181" t="s">
        <v>67</v>
      </c>
      <c r="C12" s="184"/>
      <c r="D12" s="197"/>
      <c r="E12" s="198"/>
      <c r="F12" s="199"/>
    </row>
    <row r="13" spans="1:6" ht="39.75" customHeight="1" x14ac:dyDescent="0.25">
      <c r="A13" s="200" t="s">
        <v>310</v>
      </c>
      <c r="B13" s="201" t="s">
        <v>480</v>
      </c>
      <c r="C13" s="202">
        <f>'ОПУ UDC Astana'!C13+'ОПУ UDC'!C13</f>
        <v>1040.33</v>
      </c>
      <c r="D13" s="202">
        <f>'ОПУ UDC Astana'!D13+'ОПУ UDC'!D13</f>
        <v>4627.33</v>
      </c>
      <c r="E13" s="202">
        <f>'ОПУ UDC Astana'!E13+'ОПУ UDC'!E13</f>
        <v>0</v>
      </c>
      <c r="F13" s="202">
        <f>'ОПУ UDC Astana'!F13+'ОПУ UDC'!F13</f>
        <v>0</v>
      </c>
    </row>
    <row r="14" spans="1:6" ht="24.75" customHeight="1" x14ac:dyDescent="0.25">
      <c r="A14" s="196" t="s">
        <v>173</v>
      </c>
      <c r="B14" s="181"/>
      <c r="C14" s="193">
        <f>'ОПУ UDC Astana'!C14+'ОПУ UDC'!C14</f>
        <v>0</v>
      </c>
      <c r="D14" s="203">
        <f>'ОПУ UDC Astana'!D14+'ОПУ UDC'!D14</f>
        <v>0</v>
      </c>
      <c r="E14" s="194">
        <f>'ОПУ UDC Astana'!E14+'ОПУ UDC'!E14</f>
        <v>0</v>
      </c>
      <c r="F14" s="195">
        <f>'ОПУ UDC Astana'!F14+'ОПУ UDC'!F14</f>
        <v>0</v>
      </c>
    </row>
    <row r="15" spans="1:6" ht="51" customHeight="1" x14ac:dyDescent="0.25">
      <c r="A15" s="204" t="s">
        <v>308</v>
      </c>
      <c r="B15" s="181" t="s">
        <v>481</v>
      </c>
      <c r="C15" s="193">
        <f>'ОПУ UDC Astana'!C15+'ОПУ UDC'!C15</f>
        <v>0.33000000000004093</v>
      </c>
      <c r="D15" s="203">
        <f>'ОПУ UDC Astana'!D15+'ОПУ UDC'!D15</f>
        <v>0.33000000000004093</v>
      </c>
      <c r="E15" s="194">
        <f>'ОПУ UDC Astana'!E15+'ОПУ UDC'!E15</f>
        <v>0</v>
      </c>
      <c r="F15" s="195">
        <f>'ОПУ UDC Astana'!F15+'ОПУ UDC'!F15</f>
        <v>0</v>
      </c>
    </row>
    <row r="16" spans="1:6" ht="54" customHeight="1" x14ac:dyDescent="0.25">
      <c r="A16" s="204" t="s">
        <v>309</v>
      </c>
      <c r="B16" s="181" t="s">
        <v>482</v>
      </c>
      <c r="C16" s="189">
        <f>'ОПУ UDC Astana'!C16+'ОПУ UDC'!C16</f>
        <v>100</v>
      </c>
      <c r="D16" s="203">
        <f>'ОПУ UDC Astana'!D16+'ОПУ UDC'!D16</f>
        <v>1084</v>
      </c>
      <c r="E16" s="194">
        <f>'ОПУ UDC Astana'!E16+'ОПУ UDC'!E16</f>
        <v>0</v>
      </c>
      <c r="F16" s="195">
        <f>'ОПУ UDC Astana'!F16+'ОПУ UDC'!F16</f>
        <v>0</v>
      </c>
    </row>
    <row r="17" spans="1:7" ht="57.75" customHeight="1" x14ac:dyDescent="0.25">
      <c r="A17" s="200" t="s">
        <v>311</v>
      </c>
      <c r="B17" s="201" t="s">
        <v>483</v>
      </c>
      <c r="C17" s="202">
        <f>'ОПУ UDC Astana'!C17+'ОПУ UDC'!C17</f>
        <v>13009.669999999998</v>
      </c>
      <c r="D17" s="202">
        <f>'ОПУ UDC Astana'!D17+'ОПУ UDC'!D17</f>
        <v>25454.67</v>
      </c>
      <c r="E17" s="202">
        <f>'ОПУ UDC Astana'!E17+'ОПУ UDC'!E17</f>
        <v>12525</v>
      </c>
      <c r="F17" s="202">
        <f>'ОПУ UDC Astana'!F17+'ОПУ UDC'!F17</f>
        <v>18231</v>
      </c>
      <c r="G17" s="153"/>
    </row>
    <row r="18" spans="1:7" ht="24.75" customHeight="1" x14ac:dyDescent="0.25">
      <c r="A18" s="196" t="s">
        <v>173</v>
      </c>
      <c r="B18" s="181"/>
      <c r="C18" s="193">
        <f>'ОПУ UDC Astana'!C18+'ОПУ UDC'!C18</f>
        <v>0</v>
      </c>
      <c r="D18" s="203">
        <f>'ОПУ UDC Astana'!D18+'ОПУ UDC'!D18</f>
        <v>0</v>
      </c>
      <c r="E18" s="194">
        <f>'ОПУ UDC Astana'!E18+'ОПУ UDC'!E18</f>
        <v>0</v>
      </c>
      <c r="F18" s="195">
        <f>'ОПУ UDC Astana'!F18+'ОПУ UDC'!F18</f>
        <v>0</v>
      </c>
      <c r="G18" s="359"/>
    </row>
    <row r="19" spans="1:7" ht="50.25" customHeight="1" x14ac:dyDescent="0.25">
      <c r="A19" s="204" t="s">
        <v>312</v>
      </c>
      <c r="B19" s="181" t="s">
        <v>484</v>
      </c>
      <c r="C19" s="189">
        <f>'ОПУ UDC Astana'!C19+'ОПУ UDC'!C19</f>
        <v>623.66999999999996</v>
      </c>
      <c r="D19" s="203">
        <f>'ОПУ UDC Astana'!D19+'ОПУ UDC'!D19</f>
        <v>682.67</v>
      </c>
      <c r="E19" s="194">
        <f>'ОПУ UDC Astana'!E19+'ОПУ UDC'!E19</f>
        <v>0</v>
      </c>
      <c r="F19" s="195">
        <f>'ОПУ UDC Astana'!F19+'ОПУ UDC'!F19</f>
        <v>0</v>
      </c>
      <c r="G19" s="26"/>
    </row>
    <row r="20" spans="1:7" ht="36.75" customHeight="1" x14ac:dyDescent="0.25">
      <c r="A20" s="204" t="s">
        <v>313</v>
      </c>
      <c r="B20" s="181" t="s">
        <v>485</v>
      </c>
      <c r="C20" s="189">
        <f>'ОПУ UDC Astana'!C20+'ОПУ UDC'!C20</f>
        <v>0</v>
      </c>
      <c r="D20" s="203">
        <f>'ОПУ UDC Astana'!D20+'ОПУ UDC'!D20</f>
        <v>0</v>
      </c>
      <c r="E20" s="194">
        <f>'ОПУ UDC Astana'!E20+'ОПУ UDC'!E20</f>
        <v>0</v>
      </c>
      <c r="F20" s="195">
        <f>'ОПУ UDC Astana'!F20+'ОПУ UDC'!F20</f>
        <v>0</v>
      </c>
      <c r="G20" s="26"/>
    </row>
    <row r="21" spans="1:7" ht="38.25" customHeight="1" x14ac:dyDescent="0.25">
      <c r="A21" s="200" t="s">
        <v>314</v>
      </c>
      <c r="B21" s="201" t="s">
        <v>486</v>
      </c>
      <c r="C21" s="202">
        <f>'ОПУ UDC Astana'!C21+'ОПУ UDC'!C21</f>
        <v>2884</v>
      </c>
      <c r="D21" s="202">
        <f>'ОПУ UDC Astana'!D21+'ОПУ UDC'!D21</f>
        <v>30096</v>
      </c>
      <c r="E21" s="202">
        <f>'ОПУ UDC Astana'!E21+'ОПУ UDC'!E21</f>
        <v>27212</v>
      </c>
      <c r="F21" s="202">
        <f>'ОПУ UDC Astana'!F21+'ОПУ UDC'!F21</f>
        <v>53732</v>
      </c>
      <c r="G21" s="26"/>
    </row>
    <row r="22" spans="1:7" ht="24.75" customHeight="1" x14ac:dyDescent="0.25">
      <c r="A22" s="196" t="s">
        <v>173</v>
      </c>
      <c r="B22" s="181"/>
      <c r="C22" s="193">
        <f>'ОПУ UDC Astana'!C22+'ОПУ UDC'!C22</f>
        <v>0</v>
      </c>
      <c r="D22" s="203">
        <f>'ОПУ UDC Astana'!D22+'ОПУ UDC'!D22</f>
        <v>0</v>
      </c>
      <c r="E22" s="194">
        <f>'ОПУ UDC Astana'!E22+'ОПУ UDC'!E22</f>
        <v>0</v>
      </c>
      <c r="F22" s="195">
        <f>'ОПУ UDC Astana'!F22+'ОПУ UDC'!F22</f>
        <v>0</v>
      </c>
      <c r="G22" s="26"/>
    </row>
    <row r="23" spans="1:7" ht="39" customHeight="1" x14ac:dyDescent="0.25">
      <c r="A23" s="204" t="s">
        <v>315</v>
      </c>
      <c r="B23" s="181" t="s">
        <v>487</v>
      </c>
      <c r="C23" s="189">
        <f>'ОПУ UDC Astana'!C23+'ОПУ UDC'!C23</f>
        <v>0</v>
      </c>
      <c r="D23" s="203">
        <f>'ОПУ UDC Astana'!D23+'ОПУ UDC'!D23</f>
        <v>0</v>
      </c>
      <c r="E23" s="194">
        <f>'ОПУ UDC Astana'!E23+'ОПУ UDC'!E23</f>
        <v>0</v>
      </c>
      <c r="F23" s="195">
        <f>'ОПУ UDC Astana'!F23+'ОПУ UDC'!F23</f>
        <v>0</v>
      </c>
      <c r="G23" s="26"/>
    </row>
    <row r="24" spans="1:7" ht="24.75" customHeight="1" x14ac:dyDescent="0.25">
      <c r="A24" s="205" t="s">
        <v>316</v>
      </c>
      <c r="B24" s="181" t="s">
        <v>3</v>
      </c>
      <c r="C24" s="189">
        <f>'ОПУ UDC Astana'!C24+'ОПУ UDC'!C24</f>
        <v>12438</v>
      </c>
      <c r="D24" s="203">
        <f>'ОПУ UDC Astana'!D24+'ОПУ UDC'!D24</f>
        <v>18329</v>
      </c>
      <c r="E24" s="194">
        <f>'ОПУ UDC Astana'!E24+'ОПУ UDC'!E24</f>
        <v>19088</v>
      </c>
      <c r="F24" s="195">
        <f>'ОПУ UDC Astana'!F24+'ОПУ UDC'!F24</f>
        <v>46815</v>
      </c>
      <c r="G24" s="26"/>
    </row>
    <row r="25" spans="1:7" ht="24.75" customHeight="1" x14ac:dyDescent="0.25">
      <c r="A25" s="205" t="s">
        <v>317</v>
      </c>
      <c r="B25" s="181" t="s">
        <v>4</v>
      </c>
      <c r="C25" s="189">
        <f>'ОПУ UDC Astana'!C25+'ОПУ UDC'!C25</f>
        <v>0</v>
      </c>
      <c r="D25" s="203">
        <f>'ОПУ UDC Astana'!D25+'ОПУ UDC'!D25</f>
        <v>0</v>
      </c>
      <c r="E25" s="194">
        <f>'ОПУ UDC Astana'!E25+'ОПУ UDC'!E25</f>
        <v>0</v>
      </c>
      <c r="F25" s="195">
        <f>'ОПУ UDC Astana'!F25+'ОПУ UDC'!F25</f>
        <v>0</v>
      </c>
      <c r="G25" s="26"/>
    </row>
    <row r="26" spans="1:7" ht="24.75" customHeight="1" x14ac:dyDescent="0.25">
      <c r="A26" s="206" t="s">
        <v>174</v>
      </c>
      <c r="B26" s="181" t="s">
        <v>87</v>
      </c>
      <c r="C26" s="182">
        <f>'ОПУ UDC Astana'!C26+'ОПУ UDC'!C26</f>
        <v>157177</v>
      </c>
      <c r="D26" s="207">
        <f>'ОПУ UDC Astana'!D26+'ОПУ UDC'!D26</f>
        <v>215228</v>
      </c>
      <c r="E26" s="207">
        <f>'ОПУ UDC Astana'!E26+'ОПУ UDC'!E26</f>
        <v>34672</v>
      </c>
      <c r="F26" s="207">
        <f>'ОПУ UDC Astana'!F26+'ОПУ UDC'!F26</f>
        <v>70587</v>
      </c>
      <c r="G26" s="26"/>
    </row>
    <row r="27" spans="1:7" ht="24.75" customHeight="1" x14ac:dyDescent="0.25">
      <c r="A27" s="183" t="s">
        <v>52</v>
      </c>
      <c r="B27" s="181" t="s">
        <v>67</v>
      </c>
      <c r="C27" s="184"/>
      <c r="D27" s="197"/>
      <c r="E27" s="198"/>
      <c r="F27" s="199"/>
      <c r="G27" s="26"/>
    </row>
    <row r="28" spans="1:7" ht="24.75" customHeight="1" x14ac:dyDescent="0.25">
      <c r="A28" s="188" t="s">
        <v>175</v>
      </c>
      <c r="B28" s="181" t="s">
        <v>60</v>
      </c>
      <c r="C28" s="189">
        <f>'ОПУ UDC Astana'!C28+'ОПУ UDC'!C28</f>
        <v>14200</v>
      </c>
      <c r="D28" s="193">
        <f>'ОПУ UDC Astana'!D28+'ОПУ UDC'!D28</f>
        <v>22200</v>
      </c>
      <c r="E28" s="193">
        <f>'ОПУ UDC Astana'!E28+'ОПУ UDC'!E28</f>
        <v>0</v>
      </c>
      <c r="F28" s="193">
        <f>'ОПУ UDC Astana'!F28+'ОПУ UDC'!F28</f>
        <v>0</v>
      </c>
      <c r="G28" s="26"/>
    </row>
    <row r="29" spans="1:7" ht="24.75" customHeight="1" x14ac:dyDescent="0.25">
      <c r="A29" s="208" t="s">
        <v>52</v>
      </c>
      <c r="B29" s="209" t="s">
        <v>67</v>
      </c>
      <c r="C29" s="189"/>
      <c r="D29" s="210"/>
      <c r="E29" s="194"/>
      <c r="F29" s="199"/>
      <c r="G29" s="26"/>
    </row>
    <row r="30" spans="1:7" ht="24.75" customHeight="1" x14ac:dyDescent="0.25">
      <c r="A30" s="205" t="s">
        <v>176</v>
      </c>
      <c r="B30" s="211" t="s">
        <v>177</v>
      </c>
      <c r="C30" s="189">
        <f>'ОПУ UDC Astana'!C30+'ОПУ UDC'!C30</f>
        <v>0</v>
      </c>
      <c r="D30" s="212">
        <f>'ОПУ UDC Astana'!D30+'ОПУ UDC'!D30</f>
        <v>0</v>
      </c>
      <c r="E30" s="194">
        <f>'ОПУ UDC Astana'!E30+'ОПУ UDC'!E30</f>
        <v>0</v>
      </c>
      <c r="F30" s="195">
        <f>'ОПУ UDC Astana'!F30+'ОПУ UDC'!F30</f>
        <v>0</v>
      </c>
      <c r="G30" s="26"/>
    </row>
    <row r="31" spans="1:7" ht="24.75" customHeight="1" x14ac:dyDescent="0.25">
      <c r="A31" s="205" t="s">
        <v>178</v>
      </c>
      <c r="B31" s="211" t="s">
        <v>179</v>
      </c>
      <c r="C31" s="189">
        <f>'ОПУ UDC Astana'!C31+'ОПУ UDC'!C31</f>
        <v>14200</v>
      </c>
      <c r="D31" s="212">
        <f>'ОПУ UDC Astana'!D31+'ОПУ UDC'!D31</f>
        <v>22200</v>
      </c>
      <c r="E31" s="194">
        <f>'ОПУ UDC Astana'!E31+'ОПУ UDC'!E31</f>
        <v>0</v>
      </c>
      <c r="F31" s="195">
        <f>'ОПУ UDC Astana'!F31+'ОПУ UDC'!F31</f>
        <v>0</v>
      </c>
      <c r="G31" s="359"/>
    </row>
    <row r="32" spans="1:7" ht="24.75" customHeight="1" x14ac:dyDescent="0.25">
      <c r="A32" s="188" t="s">
        <v>180</v>
      </c>
      <c r="B32" s="211" t="s">
        <v>61</v>
      </c>
      <c r="C32" s="189">
        <f>'ОПУ UDC Astana'!C32+'ОПУ UDC'!C32</f>
        <v>2500</v>
      </c>
      <c r="D32" s="212">
        <f>'ОПУ UDC Astana'!D32+'ОПУ UDC'!D32</f>
        <v>6250</v>
      </c>
      <c r="E32" s="194">
        <f>'ОПУ UDC Astana'!E32+'ОПУ UDC'!E32</f>
        <v>3395</v>
      </c>
      <c r="F32" s="195">
        <f>'ОПУ UDC Astana'!F32+'ОПУ UDC'!F32</f>
        <v>7084</v>
      </c>
      <c r="G32" s="359"/>
    </row>
    <row r="33" spans="1:7" ht="24.75" customHeight="1" x14ac:dyDescent="0.25">
      <c r="A33" s="188" t="s">
        <v>181</v>
      </c>
      <c r="B33" s="211" t="s">
        <v>182</v>
      </c>
      <c r="C33" s="189">
        <f>'ОПУ UDC Astana'!C33+'ОПУ UDC'!C33</f>
        <v>0</v>
      </c>
      <c r="D33" s="212">
        <f>'ОПУ UDC Astana'!D33+'ОПУ UDC'!D33</f>
        <v>0</v>
      </c>
      <c r="E33" s="194">
        <f>'ОПУ UDC Astana'!E33+'ОПУ UDC'!E33</f>
        <v>0</v>
      </c>
      <c r="F33" s="195">
        <f>'ОПУ UDC Astana'!F33+'ОПУ UDC'!F33</f>
        <v>0</v>
      </c>
      <c r="G33" s="359"/>
    </row>
    <row r="34" spans="1:7" ht="24.75" customHeight="1" x14ac:dyDescent="0.25">
      <c r="A34" s="188" t="s">
        <v>183</v>
      </c>
      <c r="B34" s="211" t="s">
        <v>184</v>
      </c>
      <c r="C34" s="189">
        <f>'ОПУ UDC Astana'!C34+'ОПУ UDC'!C34</f>
        <v>31341</v>
      </c>
      <c r="D34" s="231">
        <f>'ОПУ UDC Astana'!D34+'ОПУ UDC'!D34</f>
        <v>62071</v>
      </c>
      <c r="E34" s="194">
        <f>'ОПУ UDC Astana'!E34+'ОПУ UDC'!E34</f>
        <v>22752</v>
      </c>
      <c r="F34" s="195">
        <f>'ОПУ UDC Astana'!F34+'ОПУ UDC'!F34</f>
        <v>44002</v>
      </c>
      <c r="G34" s="359"/>
    </row>
    <row r="35" spans="1:7" ht="24.75" customHeight="1" x14ac:dyDescent="0.25">
      <c r="A35" s="188" t="s">
        <v>185</v>
      </c>
      <c r="B35" s="211" t="s">
        <v>186</v>
      </c>
      <c r="C35" s="189">
        <f>'ОПУ UDC Astana'!C35+'ОПУ UDC'!C35</f>
        <v>87960</v>
      </c>
      <c r="D35" s="212">
        <f>'ОПУ UDC Astana'!D35+'ОПУ UDC'!D35</f>
        <v>96027</v>
      </c>
      <c r="E35" s="194">
        <f>'ОПУ UDC Astana'!E35+'ОПУ UDC'!E35</f>
        <v>4048</v>
      </c>
      <c r="F35" s="195">
        <f>'ОПУ UDC Astana'!F35+'ОПУ UDC'!F35</f>
        <v>12015</v>
      </c>
      <c r="G35" s="359"/>
    </row>
    <row r="36" spans="1:7" ht="24.75" customHeight="1" x14ac:dyDescent="0.25">
      <c r="A36" s="188" t="s">
        <v>187</v>
      </c>
      <c r="B36" s="211" t="s">
        <v>188</v>
      </c>
      <c r="C36" s="189">
        <f>'ОПУ UDC Astana'!C36+'ОПУ UDC'!C36</f>
        <v>0</v>
      </c>
      <c r="D36" s="212">
        <f>'ОПУ UDC Astana'!D36+'ОПУ UDC'!D36</f>
        <v>0</v>
      </c>
      <c r="E36" s="194">
        <f>'ОПУ UDC Astana'!E36+'ОПУ UDC'!E36</f>
        <v>0</v>
      </c>
      <c r="F36" s="195">
        <f>'ОПУ UDC Astana'!F36+'ОПУ UDC'!F36</f>
        <v>0</v>
      </c>
      <c r="G36" s="359"/>
    </row>
    <row r="37" spans="1:7" ht="24.75" customHeight="1" x14ac:dyDescent="0.25">
      <c r="A37" s="188" t="s">
        <v>189</v>
      </c>
      <c r="B37" s="211" t="s">
        <v>190</v>
      </c>
      <c r="C37" s="189">
        <f>'ОПУ UDC Astana'!C37+'ОПУ UDC'!C37</f>
        <v>21176</v>
      </c>
      <c r="D37" s="231">
        <f>'ОПУ UDC Astana'!D37+'ОПУ UDC'!D37</f>
        <v>28680</v>
      </c>
      <c r="E37" s="194">
        <f>'ОПУ UDC Astana'!E37+'ОПУ UDC'!E37</f>
        <v>4477</v>
      </c>
      <c r="F37" s="195">
        <f>'ОПУ UDC Astana'!F37+'ОПУ UDC'!F37</f>
        <v>7486</v>
      </c>
      <c r="G37" s="359"/>
    </row>
    <row r="38" spans="1:7" ht="24.75" customHeight="1" x14ac:dyDescent="0.25">
      <c r="A38" s="188" t="s">
        <v>191</v>
      </c>
      <c r="B38" s="211" t="s">
        <v>192</v>
      </c>
      <c r="C38" s="189">
        <f>'ОПУ UDC Astana'!C38+'ОПУ UDC'!C38</f>
        <v>0</v>
      </c>
      <c r="D38" s="212">
        <f>'ОПУ UDC Astana'!D38+'ОПУ UDC'!D38</f>
        <v>0</v>
      </c>
      <c r="E38" s="194">
        <f>'ОПУ UDC Astana'!E38+'ОПУ UDC'!E38</f>
        <v>0</v>
      </c>
      <c r="F38" s="195">
        <f>'ОПУ UDC Astana'!F38+'ОПУ UDC'!F38</f>
        <v>0</v>
      </c>
      <c r="G38" s="359"/>
    </row>
    <row r="39" spans="1:7" ht="24.75" customHeight="1" x14ac:dyDescent="0.25">
      <c r="A39" s="188" t="s">
        <v>24</v>
      </c>
      <c r="B39" s="211" t="s">
        <v>193</v>
      </c>
      <c r="C39" s="189">
        <f>'ОПУ UDC Astana'!C39+'ОПУ UDC'!C39</f>
        <v>0</v>
      </c>
      <c r="D39" s="212">
        <f>'ОПУ UDC Astana'!D39+'ОПУ UDC'!D39</f>
        <v>0</v>
      </c>
      <c r="E39" s="194">
        <f>'ОПУ UDC Astana'!E39+'ОПУ UDC'!E39</f>
        <v>0</v>
      </c>
      <c r="F39" s="195">
        <f>'ОПУ UDC Astana'!F39+'ОПУ UDC'!F39</f>
        <v>0</v>
      </c>
      <c r="G39" s="359"/>
    </row>
    <row r="40" spans="1:7" ht="24.75" customHeight="1" x14ac:dyDescent="0.25">
      <c r="A40" s="206" t="s">
        <v>194</v>
      </c>
      <c r="B40" s="211" t="s">
        <v>88</v>
      </c>
      <c r="C40" s="182">
        <f>'ОПУ UDC Astana'!C40+'ОПУ UDC'!C40</f>
        <v>4812</v>
      </c>
      <c r="D40" s="213">
        <f>'ОПУ UDC Astana'!D40+'ОПУ UDC'!D40</f>
        <v>6585</v>
      </c>
      <c r="E40" s="214">
        <f>'ОПУ UDC Astana'!E40+'ОПУ UDC'!E40</f>
        <v>0</v>
      </c>
      <c r="F40" s="215">
        <f>'ОПУ UDC Astana'!F40+'ОПУ UDC'!F40</f>
        <v>8058</v>
      </c>
      <c r="G40" s="359"/>
    </row>
    <row r="41" spans="1:7" ht="52.5" customHeight="1" x14ac:dyDescent="0.25">
      <c r="A41" s="206" t="s">
        <v>195</v>
      </c>
      <c r="B41" s="211" t="s">
        <v>21</v>
      </c>
      <c r="C41" s="182">
        <f>'ОПУ UDC Astana'!C41+'ОПУ UDC'!C41</f>
        <v>700</v>
      </c>
      <c r="D41" s="213">
        <f>'ОПУ UDC Astana'!D41+'ОПУ UDC'!D41</f>
        <v>10296</v>
      </c>
      <c r="E41" s="214">
        <f>'ОПУ UDC Astana'!E41+'ОПУ UDC'!E41</f>
        <v>1386</v>
      </c>
      <c r="F41" s="215">
        <f>'ОПУ UDC Astana'!F41+'ОПУ UDC'!F41</f>
        <v>3999</v>
      </c>
      <c r="G41" s="359"/>
    </row>
    <row r="42" spans="1:7" ht="24.75" customHeight="1" x14ac:dyDescent="0.25">
      <c r="A42" s="206" t="s">
        <v>196</v>
      </c>
      <c r="B42" s="211" t="s">
        <v>90</v>
      </c>
      <c r="C42" s="182">
        <f>'ОПУ UDC Astana'!C42+'ОПУ UDC'!C42</f>
        <v>0</v>
      </c>
      <c r="D42" s="213">
        <f>'ОПУ UDC Astana'!D42+'ОПУ UDC'!D42</f>
        <v>105</v>
      </c>
      <c r="E42" s="214">
        <f>'ОПУ UDC Astana'!E42+'ОПУ UDC'!E42</f>
        <v>0</v>
      </c>
      <c r="F42" s="215">
        <f>'ОПУ UDC Astana'!F42+'ОПУ UDC'!F42</f>
        <v>0</v>
      </c>
      <c r="G42" s="359"/>
    </row>
    <row r="43" spans="1:7" ht="24.75" customHeight="1" x14ac:dyDescent="0.25">
      <c r="A43" s="206" t="s">
        <v>197</v>
      </c>
      <c r="B43" s="211" t="s">
        <v>91</v>
      </c>
      <c r="C43" s="182">
        <f>'ОПУ UDC Astana'!C43+'ОПУ UDC'!C43</f>
        <v>32698</v>
      </c>
      <c r="D43" s="213">
        <f>'ОПУ UDC Astana'!D43+'ОПУ UDC'!D43</f>
        <v>34208</v>
      </c>
      <c r="E43" s="214">
        <f>'ОПУ UDC Astana'!E43+'ОПУ UDC'!E43</f>
        <v>787</v>
      </c>
      <c r="F43" s="215">
        <f>'ОПУ UDC Astana'!F43+'ОПУ UDC'!F43</f>
        <v>787</v>
      </c>
      <c r="G43" s="290"/>
    </row>
    <row r="44" spans="1:7" ht="24.75" customHeight="1" x14ac:dyDescent="0.25">
      <c r="A44" s="206" t="s">
        <v>198</v>
      </c>
      <c r="B44" s="211" t="s">
        <v>93</v>
      </c>
      <c r="C44" s="182">
        <f>'ОПУ UDC Astana'!C44+'ОПУ UDC'!C44</f>
        <v>0</v>
      </c>
      <c r="D44" s="213">
        <f>'ОПУ UDC Astana'!D44+'ОПУ UDC'!D44</f>
        <v>0</v>
      </c>
      <c r="E44" s="214">
        <f>'ОПУ UDC Astana'!E44+'ОПУ UDC'!E44</f>
        <v>0</v>
      </c>
      <c r="F44" s="215">
        <f>'ОПУ UDC Astana'!F44+'ОПУ UDC'!F44</f>
        <v>0</v>
      </c>
      <c r="G44" s="153"/>
    </row>
    <row r="45" spans="1:7" ht="24.75" customHeight="1" x14ac:dyDescent="0.25">
      <c r="A45" s="206" t="s">
        <v>199</v>
      </c>
      <c r="B45" s="211" t="s">
        <v>94</v>
      </c>
      <c r="C45" s="182">
        <f>'ОПУ UDC Astana'!C45+'ОПУ UDC'!C45</f>
        <v>0</v>
      </c>
      <c r="D45" s="213">
        <f>'ОПУ UDC Astana'!D45+'ОПУ UDC'!D45</f>
        <v>0</v>
      </c>
      <c r="E45" s="214">
        <f>'ОПУ UDC Astana'!E45+'ОПУ UDC'!E45</f>
        <v>0</v>
      </c>
      <c r="F45" s="215">
        <f>'ОПУ UDC Astana'!F45+'ОПУ UDC'!F45</f>
        <v>0</v>
      </c>
      <c r="G45" s="290"/>
    </row>
    <row r="46" spans="1:7" ht="24.75" customHeight="1" x14ac:dyDescent="0.25">
      <c r="A46" s="206" t="s">
        <v>200</v>
      </c>
      <c r="B46" s="211" t="s">
        <v>95</v>
      </c>
      <c r="C46" s="182">
        <f>'ОПУ UDC Astana'!C46+'ОПУ UDC'!C46</f>
        <v>0</v>
      </c>
      <c r="D46" s="213">
        <f>'ОПУ UDC Astana'!D46+'ОПУ UDC'!D46</f>
        <v>0</v>
      </c>
      <c r="E46" s="214">
        <f>'ОПУ UDC Astana'!E46+'ОПУ UDC'!E46</f>
        <v>0</v>
      </c>
      <c r="F46" s="215">
        <f>'ОПУ UDC Astana'!F46+'ОПУ UDC'!F46</f>
        <v>0</v>
      </c>
      <c r="G46" s="355"/>
    </row>
    <row r="47" spans="1:7" ht="33" customHeight="1" x14ac:dyDescent="0.25">
      <c r="A47" s="206" t="s">
        <v>201</v>
      </c>
      <c r="B47" s="211" t="s">
        <v>96</v>
      </c>
      <c r="C47" s="182">
        <f>'ОПУ UDC Astana'!C47+'ОПУ UDC'!C47</f>
        <v>0</v>
      </c>
      <c r="D47" s="213">
        <f>'ОПУ UDC Astana'!D47+'ОПУ UDC'!D47</f>
        <v>0</v>
      </c>
      <c r="E47" s="214">
        <f>'ОПУ UDC Astana'!E47+'ОПУ UDC'!E47</f>
        <v>0</v>
      </c>
      <c r="F47" s="215">
        <f>'ОПУ UDC Astana'!F47+'ОПУ UDC'!F47</f>
        <v>0</v>
      </c>
      <c r="G47" s="357"/>
    </row>
    <row r="48" spans="1:7" ht="24.75" customHeight="1" x14ac:dyDescent="0.25">
      <c r="A48" s="183" t="s">
        <v>52</v>
      </c>
      <c r="B48" s="211" t="s">
        <v>67</v>
      </c>
      <c r="C48" s="184"/>
      <c r="D48" s="216"/>
      <c r="E48" s="198"/>
      <c r="F48" s="199"/>
    </row>
    <row r="49" spans="1:6" ht="24.75" customHeight="1" x14ac:dyDescent="0.25">
      <c r="A49" s="188" t="s">
        <v>202</v>
      </c>
      <c r="B49" s="211" t="s">
        <v>203</v>
      </c>
      <c r="C49" s="189">
        <f>'ОПУ UDC Astana'!C49+'ОПУ UDC'!C49</f>
        <v>0</v>
      </c>
      <c r="D49" s="212">
        <f>'ОПУ UDC Astana'!D49+'ОПУ UDC'!D49</f>
        <v>0</v>
      </c>
      <c r="E49" s="194">
        <f>'ОПУ UDC Astana'!E49+'ОПУ UDC'!E49</f>
        <v>0</v>
      </c>
      <c r="F49" s="195">
        <f>'ОПУ UDC Astana'!F49+'ОПУ UDC'!F49</f>
        <v>0</v>
      </c>
    </row>
    <row r="50" spans="1:6" ht="24.75" customHeight="1" x14ac:dyDescent="0.25">
      <c r="A50" s="188" t="s">
        <v>204</v>
      </c>
      <c r="B50" s="217" t="s">
        <v>205</v>
      </c>
      <c r="C50" s="189">
        <f>'ОПУ UDC Astana'!C50+'ОПУ UDC'!C50</f>
        <v>0</v>
      </c>
      <c r="D50" s="218">
        <f>'ОПУ UDC Astana'!D50+'ОПУ UDC'!D50</f>
        <v>0</v>
      </c>
      <c r="E50" s="194">
        <f>'ОПУ UDC Astana'!E50+'ОПУ UDC'!E50</f>
        <v>0</v>
      </c>
      <c r="F50" s="195">
        <f>'ОПУ UDC Astana'!F50+'ОПУ UDC'!F50</f>
        <v>0</v>
      </c>
    </row>
    <row r="51" spans="1:6" ht="24.75" customHeight="1" x14ac:dyDescent="0.25">
      <c r="A51" s="188" t="s">
        <v>206</v>
      </c>
      <c r="B51" s="211" t="s">
        <v>207</v>
      </c>
      <c r="C51" s="189">
        <f>'ОПУ UDC Astana'!C51+'ОПУ UDC'!C51</f>
        <v>0</v>
      </c>
      <c r="D51" s="212">
        <f>'ОПУ UDC Astana'!D51+'ОПУ UDC'!D51</f>
        <v>0</v>
      </c>
      <c r="E51" s="194">
        <f>'ОПУ UDC Astana'!E51+'ОПУ UDC'!E51</f>
        <v>0</v>
      </c>
      <c r="F51" s="195">
        <f>'ОПУ UDC Astana'!F51+'ОПУ UDC'!F51</f>
        <v>0</v>
      </c>
    </row>
    <row r="52" spans="1:6" ht="24.75" customHeight="1" x14ac:dyDescent="0.25">
      <c r="A52" s="188" t="s">
        <v>208</v>
      </c>
      <c r="B52" s="211" t="s">
        <v>209</v>
      </c>
      <c r="C52" s="189">
        <f>'ОПУ UDC Astana'!C52+'ОПУ UDC'!C52</f>
        <v>0</v>
      </c>
      <c r="D52" s="212">
        <f>'ОПУ UDC Astana'!D52+'ОПУ UDC'!D52</f>
        <v>0</v>
      </c>
      <c r="E52" s="194">
        <f>'ОПУ UDC Astana'!E52+'ОПУ UDC'!E52</f>
        <v>0</v>
      </c>
      <c r="F52" s="195">
        <f>'ОПУ UDC Astana'!F52+'ОПУ UDC'!F52</f>
        <v>0</v>
      </c>
    </row>
    <row r="53" spans="1:6" ht="54" customHeight="1" x14ac:dyDescent="0.25">
      <c r="A53" s="206" t="s">
        <v>210</v>
      </c>
      <c r="B53" s="211" t="s">
        <v>97</v>
      </c>
      <c r="C53" s="182">
        <f>'ОПУ UDC Astana'!C53+'ОПУ UDC'!C53</f>
        <v>0</v>
      </c>
      <c r="D53" s="213">
        <f>'ОПУ UDC Astana'!D53+'ОПУ UDC'!D53</f>
        <v>0</v>
      </c>
      <c r="E53" s="214">
        <f>'ОПУ UDC Astana'!E53+'ОПУ UDC'!E53</f>
        <v>0</v>
      </c>
      <c r="F53" s="215">
        <f>'ОПУ UDC Astana'!F53+'ОПУ UDC'!F53</f>
        <v>0</v>
      </c>
    </row>
    <row r="54" spans="1:6" ht="24.75" customHeight="1" x14ac:dyDescent="0.25">
      <c r="A54" s="206" t="s">
        <v>211</v>
      </c>
      <c r="B54" s="211" t="s">
        <v>98</v>
      </c>
      <c r="C54" s="182">
        <f>'ОПУ UDC Astana'!C54+'ОПУ UDC'!C54</f>
        <v>0</v>
      </c>
      <c r="D54" s="219">
        <f>'ОПУ UDC Astana'!D54+'ОПУ UDC'!D54</f>
        <v>0</v>
      </c>
      <c r="E54" s="220">
        <f>'ОПУ UDC Astana'!E54+'ОПУ UDC'!E54</f>
        <v>0</v>
      </c>
      <c r="F54" s="221">
        <f>'ОПУ UDC Astana'!F54+'ОПУ UDC'!F54</f>
        <v>0</v>
      </c>
    </row>
    <row r="55" spans="1:6" ht="24.75" customHeight="1" x14ac:dyDescent="0.25">
      <c r="A55" s="222" t="s">
        <v>212</v>
      </c>
      <c r="B55" s="223" t="s">
        <v>64</v>
      </c>
      <c r="C55" s="224">
        <f>'ОПУ UDC Astana'!C55+'ОПУ UDC'!C55</f>
        <v>225079</v>
      </c>
      <c r="D55" s="224">
        <f>'ОПУ UDC Astana'!D55+'ОПУ UDC'!D55</f>
        <v>345249</v>
      </c>
      <c r="E55" s="224">
        <f>'ОПУ UDC Astana'!E55+'ОПУ UDC'!E55</f>
        <v>95670</v>
      </c>
      <c r="F55" s="224">
        <f>'ОПУ UDC Astana'!F55+'ОПУ UDC'!F55</f>
        <v>202209</v>
      </c>
    </row>
    <row r="56" spans="1:6" ht="24.75" customHeight="1" x14ac:dyDescent="0.25">
      <c r="A56" s="206" t="s">
        <v>213</v>
      </c>
      <c r="B56" s="211" t="s">
        <v>66</v>
      </c>
      <c r="C56" s="182">
        <f>'ОПУ UDC Astana'!C56+'ОПУ UDC'!C56</f>
        <v>5</v>
      </c>
      <c r="D56" s="182">
        <f>'ОПУ UDC Astana'!D56+'ОПУ UDC'!D56</f>
        <v>5</v>
      </c>
      <c r="E56" s="182">
        <f>'ОПУ UDC Astana'!E56+'ОПУ UDC'!E56</f>
        <v>0</v>
      </c>
      <c r="F56" s="182">
        <f>'ОПУ UDC Astana'!F56+'ОПУ UDC'!F56</f>
        <v>1215</v>
      </c>
    </row>
    <row r="57" spans="1:6" ht="24.75" customHeight="1" x14ac:dyDescent="0.25">
      <c r="A57" s="183" t="s">
        <v>173</v>
      </c>
      <c r="B57" s="211" t="s">
        <v>67</v>
      </c>
      <c r="C57" s="184"/>
      <c r="D57" s="216"/>
      <c r="E57" s="198"/>
      <c r="F57" s="199"/>
    </row>
    <row r="58" spans="1:6" ht="24.75" customHeight="1" x14ac:dyDescent="0.25">
      <c r="A58" s="188" t="s">
        <v>214</v>
      </c>
      <c r="B58" s="211" t="s">
        <v>69</v>
      </c>
      <c r="C58" s="189">
        <f>'ОПУ UDC Astana'!C58+'ОПУ UDC'!C58</f>
        <v>0</v>
      </c>
      <c r="D58" s="212">
        <f>'ОПУ UDC Astana'!D58+'ОПУ UDC'!D58</f>
        <v>0</v>
      </c>
      <c r="E58" s="194">
        <f>'ОПУ UDC Astana'!E58+'ОПУ UDC'!E58</f>
        <v>0</v>
      </c>
      <c r="F58" s="195">
        <f>'ОПУ UDC Astana'!F58+'ОПУ UDC'!F58</f>
        <v>0</v>
      </c>
    </row>
    <row r="59" spans="1:6" ht="24.75" customHeight="1" x14ac:dyDescent="0.25">
      <c r="A59" s="188" t="s">
        <v>62</v>
      </c>
      <c r="B59" s="211" t="s">
        <v>71</v>
      </c>
      <c r="C59" s="189">
        <f>'ОПУ UDC Astana'!C59+'ОПУ UDC'!C59</f>
        <v>0</v>
      </c>
      <c r="D59" s="212">
        <f>'ОПУ UDC Astana'!D59+'ОПУ UDC'!D59</f>
        <v>0</v>
      </c>
      <c r="E59" s="194">
        <f>'ОПУ UDC Astana'!E59+'ОПУ UDC'!E59</f>
        <v>0</v>
      </c>
      <c r="F59" s="195">
        <f>'ОПУ UDC Astana'!F59+'ОПУ UDC'!F59</f>
        <v>0</v>
      </c>
    </row>
    <row r="60" spans="1:6" ht="24.75" customHeight="1" x14ac:dyDescent="0.25">
      <c r="A60" s="188" t="s">
        <v>63</v>
      </c>
      <c r="B60" s="211" t="s">
        <v>72</v>
      </c>
      <c r="C60" s="189">
        <f>'ОПУ UDC Astana'!C60+'ОПУ UDC'!C60</f>
        <v>5</v>
      </c>
      <c r="D60" s="212">
        <f>'ОПУ UDC Astana'!D60+'ОПУ UDC'!D60</f>
        <v>5</v>
      </c>
      <c r="E60" s="194">
        <f>'ОПУ UDC Astana'!E60+'ОПУ UDC'!E60</f>
        <v>0</v>
      </c>
      <c r="F60" s="195">
        <f>'ОПУ UDC Astana'!F60+'ОПУ UDC'!F60</f>
        <v>1215</v>
      </c>
    </row>
    <row r="61" spans="1:6" ht="24.75" customHeight="1" x14ac:dyDescent="0.25">
      <c r="A61" s="188" t="s">
        <v>215</v>
      </c>
      <c r="B61" s="211" t="s">
        <v>73</v>
      </c>
      <c r="C61" s="189">
        <f>'ОПУ UDC Astana'!C61+'ОПУ UDC'!C61</f>
        <v>0</v>
      </c>
      <c r="D61" s="212">
        <f>'ОПУ UDC Astana'!D61+'ОПУ UDC'!D61</f>
        <v>0</v>
      </c>
      <c r="E61" s="194">
        <f>'ОПУ UDC Astana'!E61+'ОПУ UDC'!E61</f>
        <v>0</v>
      </c>
      <c r="F61" s="195">
        <f>'ОПУ UDC Astana'!F61+'ОПУ UDC'!F61</f>
        <v>0</v>
      </c>
    </row>
    <row r="62" spans="1:6" ht="24.75" customHeight="1" x14ac:dyDescent="0.25">
      <c r="A62" s="206" t="s">
        <v>216</v>
      </c>
      <c r="B62" s="211" t="s">
        <v>75</v>
      </c>
      <c r="C62" s="182">
        <f>'ОПУ UDC Astana'!C62+'ОПУ UDC'!C62</f>
        <v>47615</v>
      </c>
      <c r="D62" s="207">
        <f>'ОПУ UDC Astana'!D62+'ОПУ UDC'!D62</f>
        <v>56919</v>
      </c>
      <c r="E62" s="207">
        <f>'ОПУ UDC Astana'!E62+'ОПУ UDC'!E62</f>
        <v>4725</v>
      </c>
      <c r="F62" s="207">
        <f>'ОПУ UDC Astana'!F62+'ОПУ UDC'!F62</f>
        <v>7768</v>
      </c>
    </row>
    <row r="63" spans="1:6" ht="24.75" customHeight="1" x14ac:dyDescent="0.25">
      <c r="A63" s="183" t="s">
        <v>52</v>
      </c>
      <c r="B63" s="211" t="s">
        <v>67</v>
      </c>
      <c r="C63" s="184"/>
      <c r="D63" s="216"/>
      <c r="E63" s="198"/>
      <c r="F63" s="199"/>
    </row>
    <row r="64" spans="1:6" ht="24.75" customHeight="1" x14ac:dyDescent="0.25">
      <c r="A64" s="188" t="s">
        <v>217</v>
      </c>
      <c r="B64" s="211" t="s">
        <v>101</v>
      </c>
      <c r="C64" s="189">
        <f>'ОПУ UDC Astana'!C64+'ОПУ UDC'!C64</f>
        <v>0</v>
      </c>
      <c r="D64" s="212">
        <f>'ОПУ UDC Astana'!D64+'ОПУ UDC'!D64</f>
        <v>0</v>
      </c>
      <c r="E64" s="212">
        <f>'ОПУ UDC Astana'!E64+'ОПУ UDC'!E64</f>
        <v>0</v>
      </c>
      <c r="F64" s="195">
        <f>'ОПУ UDC Astana'!F64+'ОПУ UDC'!F64</f>
        <v>0</v>
      </c>
    </row>
    <row r="65" spans="1:6" ht="24.75" customHeight="1" x14ac:dyDescent="0.25">
      <c r="A65" s="188" t="s">
        <v>218</v>
      </c>
      <c r="B65" s="211" t="s">
        <v>105</v>
      </c>
      <c r="C65" s="189">
        <f>'ОПУ UDC Astana'!C65+'ОПУ UDC'!C65</f>
        <v>2475</v>
      </c>
      <c r="D65" s="212">
        <f>'ОПУ UDC Astana'!D65+'ОПУ UDC'!D65</f>
        <v>4914</v>
      </c>
      <c r="E65" s="212">
        <f>'ОПУ UDC Astana'!E65+'ОПУ UDC'!E65</f>
        <v>2716</v>
      </c>
      <c r="F65" s="195">
        <f>'ОПУ UDC Astana'!F65+'ОПУ UDC'!F65</f>
        <v>3469</v>
      </c>
    </row>
    <row r="66" spans="1:6" ht="24.75" customHeight="1" x14ac:dyDescent="0.25">
      <c r="A66" s="188" t="s">
        <v>219</v>
      </c>
      <c r="B66" s="211" t="s">
        <v>107</v>
      </c>
      <c r="C66" s="189">
        <f>'ОПУ UDC Astana'!C66+'ОПУ UDC'!C66</f>
        <v>12490</v>
      </c>
      <c r="D66" s="212">
        <f>'ОПУ UDC Astana'!D66+'ОПУ UDC'!D66</f>
        <v>14860</v>
      </c>
      <c r="E66" s="194">
        <f>'ОПУ UDC Astana'!E66+'ОПУ UDC'!E66</f>
        <v>1129</v>
      </c>
      <c r="F66" s="195">
        <f>'ОПУ UDC Astana'!F66+'ОПУ UDC'!F66</f>
        <v>2727</v>
      </c>
    </row>
    <row r="67" spans="1:6" ht="24.75" customHeight="1" x14ac:dyDescent="0.25">
      <c r="A67" s="188" t="s">
        <v>437</v>
      </c>
      <c r="B67" s="211" t="s">
        <v>109</v>
      </c>
      <c r="C67" s="189">
        <f>'ОПУ UDC Astana'!C67+'ОПУ UDC'!C67</f>
        <v>-402</v>
      </c>
      <c r="D67" s="212">
        <f>'ОПУ UDC Astana'!D67+'ОПУ UDC'!D67</f>
        <v>4093</v>
      </c>
      <c r="E67" s="194">
        <f>'ОПУ UDC Astana'!E67+'ОПУ UDC'!E67</f>
        <v>880</v>
      </c>
      <c r="F67" s="195">
        <f>'ОПУ UDC Astana'!F67+'ОПУ UDC'!F67</f>
        <v>1572</v>
      </c>
    </row>
    <row r="68" spans="1:6" ht="24.75" customHeight="1" x14ac:dyDescent="0.25">
      <c r="A68" s="188" t="s">
        <v>220</v>
      </c>
      <c r="B68" s="211" t="s">
        <v>111</v>
      </c>
      <c r="C68" s="189">
        <f>'ОПУ UDC Astana'!C68+'ОПУ UDC'!C68</f>
        <v>0</v>
      </c>
      <c r="D68" s="212">
        <f>'ОПУ UDC Astana'!D68+'ОПУ UDC'!D68</f>
        <v>0</v>
      </c>
      <c r="E68" s="194">
        <f>'ОПУ UDC Astana'!E68+'ОПУ UDC'!E68</f>
        <v>0</v>
      </c>
      <c r="F68" s="195">
        <f>'ОПУ UDC Astana'!F68+'ОПУ UDC'!F68</f>
        <v>0</v>
      </c>
    </row>
    <row r="69" spans="1:6" ht="24.75" customHeight="1" x14ac:dyDescent="0.25">
      <c r="A69" s="188" t="s">
        <v>221</v>
      </c>
      <c r="B69" s="211" t="s">
        <v>113</v>
      </c>
      <c r="C69" s="189">
        <f>'ОПУ UDC Astana'!C69+'ОПУ UDC'!C69</f>
        <v>33052</v>
      </c>
      <c r="D69" s="212">
        <f>'ОПУ UDC Astana'!D69+'ОПУ UDC'!D69</f>
        <v>33052</v>
      </c>
      <c r="E69" s="212">
        <f>'ОПУ UDC Astana'!E69+'ОПУ UDC'!E69</f>
        <v>0</v>
      </c>
      <c r="F69" s="195">
        <f>'ОПУ UDC Astana'!F69+'ОПУ UDC'!F69</f>
        <v>0</v>
      </c>
    </row>
    <row r="70" spans="1:6" ht="24.75" customHeight="1" x14ac:dyDescent="0.25">
      <c r="A70" s="206" t="s">
        <v>222</v>
      </c>
      <c r="B70" s="211" t="s">
        <v>77</v>
      </c>
      <c r="C70" s="225">
        <f>'ОПУ UDC Astana'!C70+'ОПУ UDC'!C70</f>
        <v>4165</v>
      </c>
      <c r="D70" s="226">
        <f>'ОПУ UDC Astana'!D70+'ОПУ UDC'!D70</f>
        <v>4165</v>
      </c>
      <c r="E70" s="226">
        <f>'ОПУ UDC Astana'!E70+'ОПУ UDC'!E70</f>
        <v>0</v>
      </c>
      <c r="F70" s="215">
        <f>'ОПУ UDC Astana'!F70+'ОПУ UDC'!F70</f>
        <v>0</v>
      </c>
    </row>
    <row r="71" spans="1:6" ht="24.75" customHeight="1" x14ac:dyDescent="0.25">
      <c r="A71" s="183" t="s">
        <v>52</v>
      </c>
      <c r="B71" s="217" t="s">
        <v>67</v>
      </c>
      <c r="C71" s="184"/>
      <c r="D71" s="216"/>
      <c r="E71" s="198"/>
      <c r="F71" s="199"/>
    </row>
    <row r="72" spans="1:6" ht="24.75" customHeight="1" x14ac:dyDescent="0.25">
      <c r="A72" s="188" t="s">
        <v>223</v>
      </c>
      <c r="B72" s="211" t="s">
        <v>118</v>
      </c>
      <c r="C72" s="189">
        <f>'ОПУ UDC Astana'!C72+'ОПУ UDC'!C72</f>
        <v>0</v>
      </c>
      <c r="D72" s="212">
        <f>'ОПУ UDC Astana'!D72+'ОПУ UDC'!D72</f>
        <v>0</v>
      </c>
      <c r="E72" s="194">
        <f>'ОПУ UDC Astana'!E72+'ОПУ UDC'!E72</f>
        <v>0</v>
      </c>
      <c r="F72" s="195">
        <f>'ОПУ UDC Astana'!F72+'ОПУ UDC'!F72</f>
        <v>0</v>
      </c>
    </row>
    <row r="73" spans="1:6" ht="24.75" customHeight="1" x14ac:dyDescent="0.25">
      <c r="A73" s="188" t="s">
        <v>224</v>
      </c>
      <c r="B73" s="211" t="s">
        <v>120</v>
      </c>
      <c r="C73" s="189">
        <f>'ОПУ UDC Astana'!C73+'ОПУ UDC'!C73</f>
        <v>4165</v>
      </c>
      <c r="D73" s="212">
        <f>'ОПУ UDC Astana'!D73+'ОПУ UDC'!D73</f>
        <v>4165</v>
      </c>
      <c r="E73" s="194">
        <f>'ОПУ UDC Astana'!E73+'ОПУ UDC'!E73</f>
        <v>0</v>
      </c>
      <c r="F73" s="195">
        <f>'ОПУ UDC Astana'!F73+'ОПУ UDC'!F73</f>
        <v>0</v>
      </c>
    </row>
    <row r="74" spans="1:6" ht="24.75" customHeight="1" x14ac:dyDescent="0.25">
      <c r="A74" s="188" t="s">
        <v>225</v>
      </c>
      <c r="B74" s="211" t="s">
        <v>122</v>
      </c>
      <c r="C74" s="189">
        <f>'ОПУ UDC Astana'!C74+'ОПУ UDC'!C74</f>
        <v>0</v>
      </c>
      <c r="D74" s="212">
        <f>'ОПУ UDC Astana'!D74+'ОПУ UDC'!D74</f>
        <v>0</v>
      </c>
      <c r="E74" s="194">
        <f>'ОПУ UDC Astana'!E74+'ОПУ UDC'!E74</f>
        <v>0</v>
      </c>
      <c r="F74" s="195">
        <f>'ОПУ UDC Astana'!F74+'ОПУ UDC'!F74</f>
        <v>0</v>
      </c>
    </row>
    <row r="75" spans="1:6" ht="24.75" customHeight="1" x14ac:dyDescent="0.25">
      <c r="A75" s="188" t="s">
        <v>226</v>
      </c>
      <c r="B75" s="211" t="s">
        <v>124</v>
      </c>
      <c r="C75" s="189">
        <f>'ОПУ UDC Astana'!C75+'ОПУ UDC'!C75</f>
        <v>0</v>
      </c>
      <c r="D75" s="212">
        <f>'ОПУ UDC Astana'!D75+'ОПУ UDC'!D75</f>
        <v>0</v>
      </c>
      <c r="E75" s="194">
        <f>'ОПУ UDC Astana'!E75+'ОПУ UDC'!E75</f>
        <v>0</v>
      </c>
      <c r="F75" s="195">
        <f>'ОПУ UDC Astana'!F75+'ОПУ UDC'!F75</f>
        <v>0</v>
      </c>
    </row>
    <row r="76" spans="1:6" ht="24.75" customHeight="1" x14ac:dyDescent="0.25">
      <c r="A76" s="188" t="s">
        <v>227</v>
      </c>
      <c r="B76" s="211" t="s">
        <v>228</v>
      </c>
      <c r="C76" s="189">
        <f>'ОПУ UDC Astana'!C76+'ОПУ UDC'!C76</f>
        <v>0</v>
      </c>
      <c r="D76" s="212">
        <f>'ОПУ UDC Astana'!D76+'ОПУ UDC'!D76</f>
        <v>0</v>
      </c>
      <c r="E76" s="194">
        <f>'ОПУ UDC Astana'!E76+'ОПУ UDC'!E76</f>
        <v>0</v>
      </c>
      <c r="F76" s="195">
        <f>'ОПУ UDC Astana'!F76+'ОПУ UDC'!F76</f>
        <v>0</v>
      </c>
    </row>
    <row r="77" spans="1:6" ht="24.75" customHeight="1" x14ac:dyDescent="0.25">
      <c r="A77" s="206" t="s">
        <v>229</v>
      </c>
      <c r="B77" s="211" t="s">
        <v>78</v>
      </c>
      <c r="C77" s="182">
        <f>'ОПУ UDC Astana'!C77+'ОПУ UDC'!C77</f>
        <v>0</v>
      </c>
      <c r="D77" s="213">
        <f>'ОПУ UDC Astana'!D77+'ОПУ UDC'!D77</f>
        <v>1199</v>
      </c>
      <c r="E77" s="214">
        <f>'ОПУ UDC Astana'!E77+'ОПУ UDC'!E77</f>
        <v>0</v>
      </c>
      <c r="F77" s="215">
        <f>'ОПУ UDC Astana'!F77+'ОПУ UDC'!F77</f>
        <v>0</v>
      </c>
    </row>
    <row r="78" spans="1:6" ht="55.5" customHeight="1" x14ac:dyDescent="0.25">
      <c r="A78" s="206" t="s">
        <v>230</v>
      </c>
      <c r="B78" s="211" t="s">
        <v>79</v>
      </c>
      <c r="C78" s="182">
        <f>'ОПУ UDC Astana'!C78+'ОПУ UDC'!C78</f>
        <v>9089</v>
      </c>
      <c r="D78" s="213">
        <f>'ОПУ UDC Astana'!D78+'ОПУ UDC'!D78</f>
        <v>13011</v>
      </c>
      <c r="E78" s="214">
        <f>'ОПУ UDC Astana'!E78+'ОПУ UDC'!E78</f>
        <v>5478</v>
      </c>
      <c r="F78" s="215">
        <f>'ОПУ UDC Astana'!F78+'ОПУ UDC'!F78</f>
        <v>5478</v>
      </c>
    </row>
    <row r="79" spans="1:6" ht="24.75" customHeight="1" x14ac:dyDescent="0.25">
      <c r="A79" s="206" t="s">
        <v>231</v>
      </c>
      <c r="B79" s="211" t="s">
        <v>80</v>
      </c>
      <c r="C79" s="182">
        <f>'ОПУ UDC Astana'!C79+'ОПУ UDC'!C79</f>
        <v>2544</v>
      </c>
      <c r="D79" s="213">
        <f>'ОПУ UDC Astana'!D79+'ОПУ UDC'!D79</f>
        <v>2557</v>
      </c>
      <c r="E79" s="214">
        <f>'ОПУ UDC Astana'!E79+'ОПУ UDC'!E79</f>
        <v>913</v>
      </c>
      <c r="F79" s="215">
        <f>'ОПУ UDC Astana'!F79+'ОПУ UDC'!F79</f>
        <v>913</v>
      </c>
    </row>
    <row r="80" spans="1:6" ht="24.75" customHeight="1" x14ac:dyDescent="0.25">
      <c r="A80" s="206" t="s">
        <v>232</v>
      </c>
      <c r="B80" s="211" t="s">
        <v>126</v>
      </c>
      <c r="C80" s="182">
        <f>'ОПУ UDC Astana'!C80+'ОПУ UDC'!C80</f>
        <v>7029</v>
      </c>
      <c r="D80" s="213">
        <f>'ОПУ UDC Astana'!D80+'ОПУ UDC'!D80</f>
        <v>10183</v>
      </c>
      <c r="E80" s="214">
        <f>'ОПУ UDC Astana'!E80+'ОПУ UDC'!E80</f>
        <v>15</v>
      </c>
      <c r="F80" s="215">
        <f>'ОПУ UDC Astana'!F80+'ОПУ UDC'!F80</f>
        <v>19</v>
      </c>
    </row>
    <row r="81" spans="1:6" ht="24.75" customHeight="1" x14ac:dyDescent="0.25">
      <c r="A81" s="206" t="s">
        <v>233</v>
      </c>
      <c r="B81" s="211" t="s">
        <v>128</v>
      </c>
      <c r="C81" s="182">
        <f>'ОПУ UDC Astana'!C81+'ОПУ UDC'!C81</f>
        <v>0</v>
      </c>
      <c r="D81" s="213">
        <f>'ОПУ UDC Astana'!D81+'ОПУ UDC'!D81</f>
        <v>0</v>
      </c>
      <c r="E81" s="214">
        <f>'ОПУ UDC Astana'!E81+'ОПУ UDC'!E81</f>
        <v>0</v>
      </c>
      <c r="F81" s="215">
        <f>'ОПУ UDC Astana'!F81+'ОПУ UDC'!F81</f>
        <v>0</v>
      </c>
    </row>
    <row r="82" spans="1:6" ht="24.75" customHeight="1" x14ac:dyDescent="0.25">
      <c r="A82" s="206" t="s">
        <v>74</v>
      </c>
      <c r="B82" s="211" t="s">
        <v>129</v>
      </c>
      <c r="C82" s="182">
        <f>'ОПУ UDC Astana'!C82+'ОПУ UDC'!C82</f>
        <v>0</v>
      </c>
      <c r="D82" s="213">
        <f>'ОПУ UDC Astana'!D82+'ОПУ UDC'!D82</f>
        <v>0</v>
      </c>
      <c r="E82" s="214">
        <f>'ОПУ UDC Astana'!E82+'ОПУ UDC'!E82</f>
        <v>0</v>
      </c>
      <c r="F82" s="215">
        <f>'ОПУ UDC Astana'!F82+'ОПУ UDC'!F82</f>
        <v>0</v>
      </c>
    </row>
    <row r="83" spans="1:6" ht="24.75" customHeight="1" x14ac:dyDescent="0.25">
      <c r="A83" s="206" t="s">
        <v>234</v>
      </c>
      <c r="B83" s="211" t="s">
        <v>130</v>
      </c>
      <c r="C83" s="182">
        <f>'ОПУ UDC Astana'!C83+'ОПУ UDC'!C83</f>
        <v>0</v>
      </c>
      <c r="D83" s="219">
        <f>'ОПУ UDC Astana'!D83+'ОПУ UDC'!D83</f>
        <v>0</v>
      </c>
      <c r="E83" s="220">
        <f>'ОПУ UDC Astana'!E83+'ОПУ UDC'!E83</f>
        <v>0</v>
      </c>
      <c r="F83" s="221">
        <f>'ОПУ UDC Astana'!F83+'ОПУ UDC'!F83</f>
        <v>0</v>
      </c>
    </row>
    <row r="84" spans="1:6" ht="40.5" customHeight="1" x14ac:dyDescent="0.25">
      <c r="A84" s="206" t="s">
        <v>235</v>
      </c>
      <c r="B84" s="211" t="s">
        <v>132</v>
      </c>
      <c r="C84" s="182">
        <f>'ОПУ UDC Astana'!C84+'ОПУ UDC'!C84</f>
        <v>0</v>
      </c>
      <c r="D84" s="219">
        <f>'ОПУ UDC Astana'!D84+'ОПУ UDC'!D84</f>
        <v>0</v>
      </c>
      <c r="E84" s="220">
        <f>'ОПУ UDC Astana'!E84+'ОПУ UDC'!E84</f>
        <v>0</v>
      </c>
      <c r="F84" s="221">
        <f>'ОПУ UDC Astana'!F84+'ОПУ UDC'!F84</f>
        <v>0</v>
      </c>
    </row>
    <row r="85" spans="1:6" ht="24.75" customHeight="1" x14ac:dyDescent="0.25">
      <c r="A85" s="183" t="s">
        <v>52</v>
      </c>
      <c r="B85" s="211" t="s">
        <v>67</v>
      </c>
      <c r="C85" s="184"/>
      <c r="D85" s="227"/>
      <c r="E85" s="186"/>
      <c r="F85" s="187"/>
    </row>
    <row r="86" spans="1:6" ht="24.75" customHeight="1" x14ac:dyDescent="0.25">
      <c r="A86" s="188" t="s">
        <v>236</v>
      </c>
      <c r="B86" s="211" t="s">
        <v>237</v>
      </c>
      <c r="C86" s="189">
        <f>'ОПУ UDC Astana'!C86+'ОПУ UDC'!C86</f>
        <v>0</v>
      </c>
      <c r="D86" s="225">
        <f>'ОПУ UDC Astana'!D86+'ОПУ UDC'!D86</f>
        <v>0</v>
      </c>
      <c r="E86" s="191">
        <f>'ОПУ UDC Astana'!E86+'ОПУ UDC'!E86</f>
        <v>0</v>
      </c>
      <c r="F86" s="192">
        <f>'ОПУ UDC Astana'!F86+'ОПУ UDC'!F86</f>
        <v>0</v>
      </c>
    </row>
    <row r="87" spans="1:6" ht="24.75" customHeight="1" x14ac:dyDescent="0.25">
      <c r="A87" s="188" t="s">
        <v>238</v>
      </c>
      <c r="B87" s="211" t="s">
        <v>239</v>
      </c>
      <c r="C87" s="189">
        <f>'ОПУ UDC Astana'!C87+'ОПУ UDC'!C87</f>
        <v>0</v>
      </c>
      <c r="D87" s="225">
        <f>'ОПУ UDC Astana'!D87+'ОПУ UDC'!D87</f>
        <v>0</v>
      </c>
      <c r="E87" s="191">
        <f>'ОПУ UDC Astana'!E87+'ОПУ UDC'!E87</f>
        <v>0</v>
      </c>
      <c r="F87" s="192">
        <f>'ОПУ UDC Astana'!F87+'ОПУ UDC'!F87</f>
        <v>0</v>
      </c>
    </row>
    <row r="88" spans="1:6" ht="24.75" customHeight="1" x14ac:dyDescent="0.25">
      <c r="A88" s="188" t="s">
        <v>240</v>
      </c>
      <c r="B88" s="211" t="s">
        <v>241</v>
      </c>
      <c r="C88" s="189">
        <f>'ОПУ UDC Astana'!C88+'ОПУ UDC'!C88</f>
        <v>0</v>
      </c>
      <c r="D88" s="212">
        <f>'ОПУ UDC Astana'!D88+'ОПУ UDC'!D88</f>
        <v>0</v>
      </c>
      <c r="E88" s="194">
        <f>'ОПУ UDC Astana'!E88+'ОПУ UDC'!E88</f>
        <v>0</v>
      </c>
      <c r="F88" s="195">
        <f>'ОПУ UDC Astana'!F88+'ОПУ UDC'!F88</f>
        <v>0</v>
      </c>
    </row>
    <row r="89" spans="1:6" ht="24.75" customHeight="1" x14ac:dyDescent="0.25">
      <c r="A89" s="188" t="s">
        <v>242</v>
      </c>
      <c r="B89" s="211" t="s">
        <v>243</v>
      </c>
      <c r="C89" s="189">
        <f>'ОПУ UDC Astana'!C89+'ОПУ UDC'!C89</f>
        <v>0</v>
      </c>
      <c r="D89" s="212">
        <f>'ОПУ UDC Astana'!D89+'ОПУ UDC'!D89</f>
        <v>0</v>
      </c>
      <c r="E89" s="194">
        <f>'ОПУ UDC Astana'!E89+'ОПУ UDC'!E89</f>
        <v>0</v>
      </c>
      <c r="F89" s="195">
        <f>'ОПУ UDC Astana'!F89+'ОПУ UDC'!F89</f>
        <v>0</v>
      </c>
    </row>
    <row r="90" spans="1:6" ht="55.5" customHeight="1" x14ac:dyDescent="0.25">
      <c r="A90" s="206" t="s">
        <v>244</v>
      </c>
      <c r="B90" s="211" t="s">
        <v>133</v>
      </c>
      <c r="C90" s="182">
        <f>'ОПУ UDC Astana'!C90+'ОПУ UDC'!C90</f>
        <v>0</v>
      </c>
      <c r="D90" s="207">
        <f>'ОПУ UDC Astana'!D90+'ОПУ UDC'!D90</f>
        <v>0</v>
      </c>
      <c r="E90" s="214">
        <f>'ОПУ UDC Astana'!E90+'ОПУ UDC'!E90</f>
        <v>0</v>
      </c>
      <c r="F90" s="215">
        <f>'ОПУ UDC Astana'!F90+'ОПУ UDC'!F90</f>
        <v>0</v>
      </c>
    </row>
    <row r="91" spans="1:6" ht="24.75" customHeight="1" x14ac:dyDescent="0.25">
      <c r="A91" s="206" t="s">
        <v>65</v>
      </c>
      <c r="B91" s="211" t="s">
        <v>134</v>
      </c>
      <c r="C91" s="182">
        <f>'ОПУ UDC Astana'!C91+'ОПУ UDC'!C91</f>
        <v>96929</v>
      </c>
      <c r="D91" s="207">
        <f>'ОПУ UDC Astana'!D91+'ОПУ UDC'!D91</f>
        <v>192835</v>
      </c>
      <c r="E91" s="207">
        <f>'ОПУ UDC Astana'!E91+'ОПУ UDC'!E91</f>
        <v>66764</v>
      </c>
      <c r="F91" s="207">
        <f>'ОПУ UDC Astana'!F91+'ОПУ UDC'!F91</f>
        <v>125688</v>
      </c>
    </row>
    <row r="92" spans="1:6" ht="24.75" customHeight="1" x14ac:dyDescent="0.25">
      <c r="A92" s="183" t="s">
        <v>52</v>
      </c>
      <c r="B92" s="217" t="s">
        <v>67</v>
      </c>
      <c r="C92" s="184"/>
      <c r="D92" s="228"/>
      <c r="E92" s="198"/>
      <c r="F92" s="199"/>
    </row>
    <row r="93" spans="1:6" ht="24.75" customHeight="1" x14ac:dyDescent="0.25">
      <c r="A93" s="188" t="s">
        <v>68</v>
      </c>
      <c r="B93" s="211" t="s">
        <v>245</v>
      </c>
      <c r="C93" s="189">
        <f>'ОПУ UDC Astana'!C93+'ОПУ UDC'!C93</f>
        <v>57850</v>
      </c>
      <c r="D93" s="194">
        <f>'ОПУ UDC Astana'!D93+'ОПУ UDC'!D93</f>
        <v>108578</v>
      </c>
      <c r="E93" s="194">
        <f>'ОПУ UDC Astana'!E93+'ОПУ UDC'!E93</f>
        <v>44558</v>
      </c>
      <c r="F93" s="195">
        <f>'ОПУ UDC Astana'!F93+'ОПУ UDC'!F93</f>
        <v>83597</v>
      </c>
    </row>
    <row r="94" spans="1:6" ht="24.75" customHeight="1" x14ac:dyDescent="0.25">
      <c r="A94" s="229" t="s">
        <v>246</v>
      </c>
      <c r="B94" s="230" t="s">
        <v>488</v>
      </c>
      <c r="C94" s="189">
        <f>'ОПУ UDC Astana'!C94+'ОПУ UDC'!C94</f>
        <v>479</v>
      </c>
      <c r="D94" s="194">
        <f>'ОПУ UDC Astana'!D94+'ОПУ UDC'!D94</f>
        <v>848</v>
      </c>
      <c r="E94" s="194">
        <f>'ОПУ UDC Astana'!E94+'ОПУ UDC'!E94</f>
        <v>303</v>
      </c>
      <c r="F94" s="195">
        <f>'ОПУ UDC Astana'!F94+'ОПУ UDC'!F94</f>
        <v>595</v>
      </c>
    </row>
    <row r="95" spans="1:6" ht="24.75" customHeight="1" x14ac:dyDescent="0.25">
      <c r="A95" s="229" t="s">
        <v>260</v>
      </c>
      <c r="B95" s="230" t="s">
        <v>247</v>
      </c>
      <c r="C95" s="189">
        <f>'ОПУ UDC Astana'!C95+'ОПУ UDC'!C95</f>
        <v>29850</v>
      </c>
      <c r="D95" s="232">
        <f>'ОПУ UDC Astana'!D95+'ОПУ UDC'!D95</f>
        <v>68127</v>
      </c>
      <c r="E95" s="194">
        <f>'ОПУ UDC Astana'!E95+'ОПУ UDC'!E95</f>
        <v>16314</v>
      </c>
      <c r="F95" s="195">
        <f>'ОПУ UDC Astana'!F95+'ОПУ UDC'!F95</f>
        <v>30896</v>
      </c>
    </row>
    <row r="96" spans="1:6" ht="24.75" customHeight="1" x14ac:dyDescent="0.25">
      <c r="A96" s="229" t="s">
        <v>70</v>
      </c>
      <c r="B96" s="230" t="s">
        <v>248</v>
      </c>
      <c r="C96" s="189">
        <f>'ОПУ UDC Astana'!C96+'ОПУ UDC'!C96</f>
        <v>1277</v>
      </c>
      <c r="D96" s="233">
        <f>'ОПУ UDC Astana'!D96+'ОПУ UDC'!D96</f>
        <v>2492</v>
      </c>
      <c r="E96" s="191">
        <f>'ОПУ UDC Astana'!E96+'ОПУ UDC'!E96</f>
        <v>1032</v>
      </c>
      <c r="F96" s="192">
        <f>'ОПУ UDC Astana'!F96+'ОПУ UDC'!F96</f>
        <v>1925</v>
      </c>
    </row>
    <row r="97" spans="1:6" ht="39" customHeight="1" x14ac:dyDescent="0.25">
      <c r="A97" s="229" t="s">
        <v>250</v>
      </c>
      <c r="B97" s="230" t="s">
        <v>249</v>
      </c>
      <c r="C97" s="189">
        <f>'ОПУ UDC Astana'!C97+'ОПУ UDC'!C97</f>
        <v>7473</v>
      </c>
      <c r="D97" s="233">
        <f>'ОПУ UDC Astana'!D97+'ОПУ UDC'!D97</f>
        <v>12790</v>
      </c>
      <c r="E97" s="191">
        <f>'ОПУ UDC Astana'!E97+'ОПУ UDC'!E97</f>
        <v>4557</v>
      </c>
      <c r="F97" s="192">
        <f>'ОПУ UDC Astana'!F97+'ОПУ UDC'!F97</f>
        <v>8675</v>
      </c>
    </row>
    <row r="98" spans="1:6" ht="24.75" customHeight="1" x14ac:dyDescent="0.25">
      <c r="A98" s="229" t="s">
        <v>252</v>
      </c>
      <c r="B98" s="230" t="s">
        <v>251</v>
      </c>
      <c r="C98" s="189">
        <f>'ОПУ UDC Astana'!C98+'ОПУ UDC'!C98</f>
        <v>0</v>
      </c>
      <c r="D98" s="192">
        <f>'ОПУ UDC Astana'!D98+'ОПУ UDC'!D98</f>
        <v>0</v>
      </c>
      <c r="E98" s="191">
        <f>'ОПУ UDC Astana'!E98+'ОПУ UDC'!E98</f>
        <v>0</v>
      </c>
      <c r="F98" s="192">
        <f>'ОПУ UDC Astana'!F98+'ОПУ UDC'!F98</f>
        <v>0</v>
      </c>
    </row>
    <row r="99" spans="1:6" ht="24.75" customHeight="1" x14ac:dyDescent="0.25">
      <c r="A99" s="234" t="s">
        <v>76</v>
      </c>
      <c r="B99" s="230" t="s">
        <v>136</v>
      </c>
      <c r="C99" s="189">
        <f>'ОПУ UDC Astana'!C99+'ОПУ UDC'!C99</f>
        <v>0</v>
      </c>
      <c r="D99" s="192">
        <f>'ОПУ UDC Astana'!D99+'ОПУ UDC'!D99</f>
        <v>0</v>
      </c>
      <c r="E99" s="191">
        <f>'ОПУ UDC Astana'!E99+'ОПУ UDC'!E99</f>
        <v>0</v>
      </c>
      <c r="F99" s="192">
        <f>'ОПУ UDC Astana'!F99+'ОПУ UDC'!F99</f>
        <v>0</v>
      </c>
    </row>
    <row r="100" spans="1:6" ht="24.75" customHeight="1" x14ac:dyDescent="0.25">
      <c r="A100" s="235" t="s">
        <v>253</v>
      </c>
      <c r="B100" s="236" t="s">
        <v>137</v>
      </c>
      <c r="C100" s="237">
        <f>'ОПУ UDC Astana'!C100+'ОПУ UDC'!C100</f>
        <v>167376</v>
      </c>
      <c r="D100" s="237">
        <f>'ОПУ UDC Astana'!D100+'ОПУ UDC'!D100</f>
        <v>280874</v>
      </c>
      <c r="E100" s="237">
        <f>'ОПУ UDC Astana'!E100+'ОПУ UDC'!E100</f>
        <v>77895</v>
      </c>
      <c r="F100" s="237">
        <f>'ОПУ UDC Astana'!F100+'ОПУ UDC'!F100</f>
        <v>141081</v>
      </c>
    </row>
    <row r="101" spans="1:6" ht="24.75" customHeight="1" x14ac:dyDescent="0.25">
      <c r="A101" s="229" t="s">
        <v>67</v>
      </c>
      <c r="B101" s="230" t="s">
        <v>67</v>
      </c>
      <c r="C101" s="238"/>
      <c r="D101" s="239"/>
      <c r="E101" s="239"/>
      <c r="F101" s="239"/>
    </row>
    <row r="102" spans="1:6" ht="36.75" customHeight="1" x14ac:dyDescent="0.25">
      <c r="A102" s="235" t="s">
        <v>254</v>
      </c>
      <c r="B102" s="236" t="s">
        <v>139</v>
      </c>
      <c r="C102" s="237">
        <f>'ОПУ UDC Astana'!C102+'ОПУ UDC'!C102</f>
        <v>57703</v>
      </c>
      <c r="D102" s="237">
        <f>'ОПУ UDC Astana'!D102+'ОПУ UDC'!D102</f>
        <v>64375</v>
      </c>
      <c r="E102" s="237">
        <f>'ОПУ UDC Astana'!E102+'ОПУ UDC'!E102</f>
        <v>17775</v>
      </c>
      <c r="F102" s="237">
        <f>'ОПУ UDC Astana'!F102+'ОПУ UDC'!F102</f>
        <v>61128</v>
      </c>
    </row>
    <row r="103" spans="1:6" ht="24.75" customHeight="1" x14ac:dyDescent="0.25">
      <c r="A103" s="229" t="s">
        <v>67</v>
      </c>
      <c r="B103" s="230" t="s">
        <v>67</v>
      </c>
      <c r="C103" s="238"/>
      <c r="D103" s="239"/>
      <c r="E103" s="240"/>
      <c r="F103" s="187"/>
    </row>
    <row r="104" spans="1:6" ht="24.75" customHeight="1" x14ac:dyDescent="0.25">
      <c r="A104" s="234" t="s">
        <v>81</v>
      </c>
      <c r="B104" s="230" t="s">
        <v>151</v>
      </c>
      <c r="C104" s="189">
        <f>'ОПУ UDC Astana'!C104+'ОПУ UDC'!C104</f>
        <v>2108</v>
      </c>
      <c r="D104" s="241">
        <f>'ОПУ UDC Astana'!D104+'ОПУ UDC'!D104</f>
        <v>2117</v>
      </c>
      <c r="E104" s="191">
        <f>'ОПУ UDC Astana'!E104+'ОПУ UDC'!E104</f>
        <v>0</v>
      </c>
      <c r="F104" s="215">
        <f>'ОПУ UDC Astana'!F104+'ОПУ UDC'!F104</f>
        <v>102</v>
      </c>
    </row>
    <row r="105" spans="1:6" ht="24.75" customHeight="1" x14ac:dyDescent="0.25">
      <c r="A105" s="242" t="s">
        <v>67</v>
      </c>
      <c r="B105" s="243" t="s">
        <v>67</v>
      </c>
      <c r="C105" s="244"/>
      <c r="D105" s="245"/>
      <c r="E105" s="246"/>
      <c r="F105" s="187"/>
    </row>
    <row r="106" spans="1:6" ht="33" customHeight="1" x14ac:dyDescent="0.25">
      <c r="A106" s="247" t="s">
        <v>525</v>
      </c>
      <c r="B106" s="248" t="s">
        <v>526</v>
      </c>
      <c r="C106" s="249">
        <f>'ОПУ UDC Astana'!C106+'ОПУ UDC'!C106</f>
        <v>55595</v>
      </c>
      <c r="D106" s="249">
        <f>'ОПУ UDC Astana'!D106+'ОПУ UDC'!D106</f>
        <v>62258</v>
      </c>
      <c r="E106" s="249">
        <f>'ОПУ UDC Astana'!E106+'ОПУ UDC'!E106</f>
        <v>17775</v>
      </c>
      <c r="F106" s="249">
        <f>'ОПУ UDC Astana'!F106+'ОПУ UDC'!F106</f>
        <v>61026</v>
      </c>
    </row>
    <row r="107" spans="1:6" ht="24.75" customHeight="1" x14ac:dyDescent="0.25">
      <c r="A107" s="250" t="s">
        <v>527</v>
      </c>
      <c r="B107" s="243" t="s">
        <v>41</v>
      </c>
      <c r="C107" s="251">
        <f>'ОПУ UDC Astana'!C107+'ОПУ UDC'!C107</f>
        <v>0</v>
      </c>
      <c r="D107" s="251">
        <f>'ОПУ UDC Astana'!D107+'ОПУ UDC'!D107</f>
        <v>0</v>
      </c>
      <c r="E107" s="252">
        <f>'ОПУ UDC Astana'!E107+'ОПУ UDC'!E107</f>
        <v>0</v>
      </c>
      <c r="F107" s="221">
        <f>'ОПУ UDC Astana'!F107+'ОПУ UDC'!F107</f>
        <v>0</v>
      </c>
    </row>
    <row r="108" spans="1:6" ht="24.75" customHeight="1" x14ac:dyDescent="0.25">
      <c r="A108" s="242" t="s">
        <v>67</v>
      </c>
      <c r="B108" s="243" t="s">
        <v>67</v>
      </c>
      <c r="C108" s="244"/>
      <c r="D108" s="244"/>
      <c r="E108" s="246"/>
      <c r="F108" s="187"/>
    </row>
    <row r="109" spans="1:6" ht="24.75" customHeight="1" x14ac:dyDescent="0.25">
      <c r="A109" s="247" t="s">
        <v>528</v>
      </c>
      <c r="B109" s="248" t="s">
        <v>43</v>
      </c>
      <c r="C109" s="249">
        <f>'ОПУ UDC Astana'!C109+'ОПУ UDC'!C109</f>
        <v>55595</v>
      </c>
      <c r="D109" s="249">
        <f>'ОПУ UDC Astana'!D109+'ОПУ UDC'!D109</f>
        <v>62258</v>
      </c>
      <c r="E109" s="249">
        <f>'ОПУ UDC Astana'!E109+'ОПУ UDC'!E109</f>
        <v>17775</v>
      </c>
      <c r="F109" s="249">
        <f>'ОПУ UDC Astana'!F109+'ОПУ UDC'!F109</f>
        <v>61026</v>
      </c>
    </row>
    <row r="110" spans="1:6" ht="24.75" customHeight="1" x14ac:dyDescent="0.3">
      <c r="A110" s="253" t="s">
        <v>529</v>
      </c>
      <c r="B110" s="253"/>
      <c r="C110" s="253"/>
      <c r="D110" s="254">
        <f>'Баланс консолид UDC'!C110-D109</f>
        <v>0</v>
      </c>
      <c r="E110" s="171"/>
      <c r="F110" s="255"/>
    </row>
    <row r="111" spans="1:6" ht="18" x14ac:dyDescent="0.35">
      <c r="A111" s="151" t="s">
        <v>257</v>
      </c>
      <c r="B111" s="256"/>
      <c r="C111" s="256"/>
      <c r="D111" s="257"/>
      <c r="E111" s="151"/>
      <c r="F111" s="258"/>
    </row>
    <row r="112" spans="1:6" ht="18" x14ac:dyDescent="0.35">
      <c r="A112" s="410"/>
      <c r="B112" s="410"/>
      <c r="C112" s="410"/>
      <c r="D112" s="410"/>
      <c r="E112" s="410"/>
      <c r="F112" s="410"/>
    </row>
    <row r="113" spans="1:6" ht="18" x14ac:dyDescent="0.35">
      <c r="A113" s="151"/>
      <c r="B113" s="151"/>
      <c r="C113" s="151"/>
      <c r="D113" s="151"/>
      <c r="E113" s="151"/>
      <c r="F113" s="151"/>
    </row>
    <row r="114" spans="1:6" ht="18" x14ac:dyDescent="0.35">
      <c r="A114" s="411"/>
      <c r="B114" s="412"/>
      <c r="C114" s="412"/>
      <c r="D114" s="412"/>
      <c r="E114" s="259"/>
      <c r="F114" s="151"/>
    </row>
    <row r="115" spans="1:6" ht="15.75" x14ac:dyDescent="0.3">
      <c r="A115" s="76" t="s">
        <v>430</v>
      </c>
      <c r="B115" s="78" t="s">
        <v>493</v>
      </c>
      <c r="C115" s="79"/>
      <c r="D115" s="80"/>
      <c r="E115" s="80"/>
      <c r="F115" s="91"/>
    </row>
    <row r="116" spans="1:6" ht="15.75" x14ac:dyDescent="0.3">
      <c r="A116" s="76" t="s">
        <v>431</v>
      </c>
      <c r="B116" s="78" t="s">
        <v>495</v>
      </c>
      <c r="C116" s="79"/>
      <c r="D116" s="80"/>
      <c r="E116" s="80"/>
      <c r="F116" s="91"/>
    </row>
    <row r="117" spans="1:6" ht="15.75" x14ac:dyDescent="0.3">
      <c r="A117" s="76" t="s">
        <v>432</v>
      </c>
      <c r="B117" s="78" t="s">
        <v>530</v>
      </c>
      <c r="C117" s="79"/>
      <c r="D117" s="80"/>
      <c r="E117" s="80"/>
      <c r="F117" s="91"/>
    </row>
    <row r="118" spans="1:6" ht="18" x14ac:dyDescent="0.3">
      <c r="A118" s="76" t="s">
        <v>433</v>
      </c>
      <c r="B118" s="82" t="s">
        <v>496</v>
      </c>
      <c r="C118" s="79"/>
      <c r="D118" s="80"/>
      <c r="E118" s="80"/>
      <c r="F118" s="91"/>
    </row>
    <row r="119" spans="1:6" ht="15" x14ac:dyDescent="0.25">
      <c r="A119" s="83"/>
      <c r="B119" s="77"/>
      <c r="C119" s="77"/>
      <c r="D119" s="77"/>
      <c r="E119" s="77"/>
      <c r="F119" s="77"/>
    </row>
    <row r="120" spans="1:6" ht="15.75" x14ac:dyDescent="0.3">
      <c r="A120" s="76" t="s">
        <v>256</v>
      </c>
      <c r="B120" s="76" t="s">
        <v>328</v>
      </c>
      <c r="C120" s="76"/>
      <c r="D120" s="84"/>
      <c r="E120" s="84"/>
      <c r="F120" s="85"/>
    </row>
    <row r="121" spans="1:6" ht="15.75" x14ac:dyDescent="0.3">
      <c r="A121" s="85"/>
      <c r="B121" s="85"/>
      <c r="C121" s="85"/>
      <c r="D121" s="85"/>
      <c r="E121" s="85"/>
      <c r="F121" s="85"/>
    </row>
    <row r="122" spans="1:6" ht="15.75" x14ac:dyDescent="0.3">
      <c r="A122" s="76" t="s">
        <v>434</v>
      </c>
      <c r="B122" s="76" t="str">
        <f>B120</f>
        <v>Старикова-Тлеухан М.В.</v>
      </c>
      <c r="C122" s="85"/>
      <c r="D122" s="84"/>
      <c r="E122" s="84"/>
      <c r="F122" s="86" t="s">
        <v>531</v>
      </c>
    </row>
    <row r="123" spans="1:6" ht="15.75" x14ac:dyDescent="0.3">
      <c r="A123" s="87"/>
      <c r="B123" s="76"/>
      <c r="C123" s="76"/>
      <c r="D123" s="85"/>
      <c r="E123" s="85"/>
      <c r="F123" s="76"/>
    </row>
    <row r="124" spans="1:6" ht="15.75" x14ac:dyDescent="0.3">
      <c r="A124" s="76" t="s">
        <v>435</v>
      </c>
      <c r="B124" s="86" t="s">
        <v>577</v>
      </c>
      <c r="C124" s="85"/>
      <c r="D124" s="84"/>
      <c r="E124" s="84"/>
      <c r="F124" s="86" t="s">
        <v>532</v>
      </c>
    </row>
    <row r="125" spans="1:6" ht="15" x14ac:dyDescent="0.25">
      <c r="A125" s="28"/>
      <c r="B125" s="28"/>
      <c r="C125" s="28"/>
      <c r="D125" s="28"/>
      <c r="E125" s="28"/>
      <c r="F125" s="28"/>
    </row>
    <row r="126" spans="1:6" ht="15.75" x14ac:dyDescent="0.3">
      <c r="A126" s="88" t="s">
        <v>505</v>
      </c>
      <c r="B126" s="89">
        <f>'Баланс UDC'!B128</f>
        <v>45478</v>
      </c>
      <c r="C126" s="97" t="s">
        <v>9</v>
      </c>
      <c r="D126" s="28"/>
      <c r="E126" s="28"/>
      <c r="F126" s="28"/>
    </row>
    <row r="127" spans="1:6" ht="24.75" customHeight="1" x14ac:dyDescent="0.25">
      <c r="A127" s="1"/>
      <c r="B127" s="1"/>
      <c r="C127" s="2"/>
      <c r="D127" s="2"/>
      <c r="E127" s="2"/>
      <c r="F127" s="2"/>
    </row>
    <row r="128" spans="1:6" ht="24.75" customHeight="1" x14ac:dyDescent="0.25">
      <c r="B128" s="1"/>
      <c r="C128" s="2"/>
      <c r="D128" s="2"/>
      <c r="E128" s="2"/>
      <c r="F128" s="2"/>
    </row>
  </sheetData>
  <mergeCells count="5">
    <mergeCell ref="A112:F112"/>
    <mergeCell ref="A114:D114"/>
    <mergeCell ref="D1:F1"/>
    <mergeCell ref="A2:F2"/>
    <mergeCell ref="A3:F3"/>
  </mergeCells>
  <hyperlinks>
    <hyperlink ref="B118" r:id="rId1" xr:uid="{273675AB-5556-4EDE-ADE8-DB45727A1BFA}"/>
  </hyperlinks>
  <pageMargins left="0.70866141732283472" right="0.70866141732283472" top="0.39370078740157483" bottom="0.39370078740157483" header="0" footer="0"/>
  <pageSetup scale="60" fitToHeight="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4566-4662-486C-9548-05F9FECB40EC}">
  <sheetPr>
    <tabColor theme="4" tint="0.79998168889431442"/>
    <pageSetUpPr fitToPage="1"/>
  </sheetPr>
  <dimension ref="A1:T128"/>
  <sheetViews>
    <sheetView zoomScale="80" zoomScaleNormal="80" workbookViewId="0">
      <selection activeCell="I11" sqref="I11"/>
    </sheetView>
  </sheetViews>
  <sheetFormatPr defaultRowHeight="24.75" customHeight="1" outlineLevelCol="1" x14ac:dyDescent="0.25"/>
  <cols>
    <col min="1" max="1" width="71.5703125" style="3" customWidth="1"/>
    <col min="2" max="2" width="11.28515625" style="3" customWidth="1"/>
    <col min="3" max="5" width="16.140625" style="3" customWidth="1"/>
    <col min="6" max="6" width="16.85546875" style="3" customWidth="1"/>
    <col min="7" max="7" width="12" style="19" hidden="1" customWidth="1" outlineLevel="1"/>
    <col min="8" max="8" width="4.28515625" style="3" customWidth="1" collapsed="1"/>
    <col min="9" max="9" width="36.42578125" style="3" hidden="1" customWidth="1" outlineLevel="1"/>
    <col min="10" max="10" width="9.140625" style="3" hidden="1" customWidth="1" outlineLevel="1"/>
    <col min="11" max="12" width="16.7109375" style="3" hidden="1" customWidth="1" outlineLevel="1"/>
    <col min="13" max="15" width="14.5703125" style="3" hidden="1" customWidth="1" outlineLevel="1"/>
    <col min="16" max="16" width="17.42578125" style="3" hidden="1" customWidth="1" outlineLevel="1"/>
    <col min="17" max="17" width="16.7109375" style="3" hidden="1" customWidth="1" outlineLevel="1"/>
    <col min="18" max="18" width="15.28515625" style="3" customWidth="1" collapsed="1"/>
    <col min="19" max="19" width="15.42578125" style="3" customWidth="1"/>
    <col min="20" max="20" width="18.5703125" style="3" customWidth="1"/>
    <col min="21" max="21" width="43.85546875" style="3" customWidth="1"/>
    <col min="22" max="153" width="9.140625" style="3"/>
    <col min="154" max="154" width="57.85546875" style="3" customWidth="1"/>
    <col min="155" max="155" width="10.85546875" style="3" customWidth="1"/>
    <col min="156" max="156" width="15.28515625" style="3" customWidth="1"/>
    <col min="157" max="157" width="15.42578125" style="3" customWidth="1"/>
    <col min="158" max="158" width="16" style="3" customWidth="1"/>
    <col min="159" max="159" width="21.42578125" style="3" customWidth="1"/>
    <col min="160" max="160" width="11.42578125" style="3" customWidth="1"/>
    <col min="161" max="409" width="9.140625" style="3"/>
    <col min="410" max="410" width="57.85546875" style="3" customWidth="1"/>
    <col min="411" max="411" width="10.85546875" style="3" customWidth="1"/>
    <col min="412" max="412" width="15.28515625" style="3" customWidth="1"/>
    <col min="413" max="413" width="15.42578125" style="3" customWidth="1"/>
    <col min="414" max="414" width="16" style="3" customWidth="1"/>
    <col min="415" max="415" width="21.42578125" style="3" customWidth="1"/>
    <col min="416" max="416" width="11.42578125" style="3" customWidth="1"/>
    <col min="417" max="665" width="9.140625" style="3"/>
    <col min="666" max="666" width="57.85546875" style="3" customWidth="1"/>
    <col min="667" max="667" width="10.85546875" style="3" customWidth="1"/>
    <col min="668" max="668" width="15.28515625" style="3" customWidth="1"/>
    <col min="669" max="669" width="15.42578125" style="3" customWidth="1"/>
    <col min="670" max="670" width="16" style="3" customWidth="1"/>
    <col min="671" max="671" width="21.42578125" style="3" customWidth="1"/>
    <col min="672" max="672" width="11.42578125" style="3" customWidth="1"/>
    <col min="673" max="921" width="9.140625" style="3"/>
    <col min="922" max="922" width="57.85546875" style="3" customWidth="1"/>
    <col min="923" max="923" width="10.85546875" style="3" customWidth="1"/>
    <col min="924" max="924" width="15.28515625" style="3" customWidth="1"/>
    <col min="925" max="925" width="15.42578125" style="3" customWidth="1"/>
    <col min="926" max="926" width="16" style="3" customWidth="1"/>
    <col min="927" max="927" width="21.42578125" style="3" customWidth="1"/>
    <col min="928" max="928" width="11.42578125" style="3" customWidth="1"/>
    <col min="929" max="1177" width="9.140625" style="3"/>
    <col min="1178" max="1178" width="57.85546875" style="3" customWidth="1"/>
    <col min="1179" max="1179" width="10.85546875" style="3" customWidth="1"/>
    <col min="1180" max="1180" width="15.28515625" style="3" customWidth="1"/>
    <col min="1181" max="1181" width="15.42578125" style="3" customWidth="1"/>
    <col min="1182" max="1182" width="16" style="3" customWidth="1"/>
    <col min="1183" max="1183" width="21.42578125" style="3" customWidth="1"/>
    <col min="1184" max="1184" width="11.42578125" style="3" customWidth="1"/>
    <col min="1185" max="1433" width="9.140625" style="3"/>
    <col min="1434" max="1434" width="57.85546875" style="3" customWidth="1"/>
    <col min="1435" max="1435" width="10.85546875" style="3" customWidth="1"/>
    <col min="1436" max="1436" width="15.28515625" style="3" customWidth="1"/>
    <col min="1437" max="1437" width="15.42578125" style="3" customWidth="1"/>
    <col min="1438" max="1438" width="16" style="3" customWidth="1"/>
    <col min="1439" max="1439" width="21.42578125" style="3" customWidth="1"/>
    <col min="1440" max="1440" width="11.42578125" style="3" customWidth="1"/>
    <col min="1441" max="1689" width="9.140625" style="3"/>
    <col min="1690" max="1690" width="57.85546875" style="3" customWidth="1"/>
    <col min="1691" max="1691" width="10.85546875" style="3" customWidth="1"/>
    <col min="1692" max="1692" width="15.28515625" style="3" customWidth="1"/>
    <col min="1693" max="1693" width="15.42578125" style="3" customWidth="1"/>
    <col min="1694" max="1694" width="16" style="3" customWidth="1"/>
    <col min="1695" max="1695" width="21.42578125" style="3" customWidth="1"/>
    <col min="1696" max="1696" width="11.42578125" style="3" customWidth="1"/>
    <col min="1697" max="1945" width="9.140625" style="3"/>
    <col min="1946" max="1946" width="57.85546875" style="3" customWidth="1"/>
    <col min="1947" max="1947" width="10.85546875" style="3" customWidth="1"/>
    <col min="1948" max="1948" width="15.28515625" style="3" customWidth="1"/>
    <col min="1949" max="1949" width="15.42578125" style="3" customWidth="1"/>
    <col min="1950" max="1950" width="16" style="3" customWidth="1"/>
    <col min="1951" max="1951" width="21.42578125" style="3" customWidth="1"/>
    <col min="1952" max="1952" width="11.42578125" style="3" customWidth="1"/>
    <col min="1953" max="2201" width="9.140625" style="3"/>
    <col min="2202" max="2202" width="57.85546875" style="3" customWidth="1"/>
    <col min="2203" max="2203" width="10.85546875" style="3" customWidth="1"/>
    <col min="2204" max="2204" width="15.28515625" style="3" customWidth="1"/>
    <col min="2205" max="2205" width="15.42578125" style="3" customWidth="1"/>
    <col min="2206" max="2206" width="16" style="3" customWidth="1"/>
    <col min="2207" max="2207" width="21.42578125" style="3" customWidth="1"/>
    <col min="2208" max="2208" width="11.42578125" style="3" customWidth="1"/>
    <col min="2209" max="2457" width="9.140625" style="3"/>
    <col min="2458" max="2458" width="57.85546875" style="3" customWidth="1"/>
    <col min="2459" max="2459" width="10.85546875" style="3" customWidth="1"/>
    <col min="2460" max="2460" width="15.28515625" style="3" customWidth="1"/>
    <col min="2461" max="2461" width="15.42578125" style="3" customWidth="1"/>
    <col min="2462" max="2462" width="16" style="3" customWidth="1"/>
    <col min="2463" max="2463" width="21.42578125" style="3" customWidth="1"/>
    <col min="2464" max="2464" width="11.42578125" style="3" customWidth="1"/>
    <col min="2465" max="2713" width="9.140625" style="3"/>
    <col min="2714" max="2714" width="57.85546875" style="3" customWidth="1"/>
    <col min="2715" max="2715" width="10.85546875" style="3" customWidth="1"/>
    <col min="2716" max="2716" width="15.28515625" style="3" customWidth="1"/>
    <col min="2717" max="2717" width="15.42578125" style="3" customWidth="1"/>
    <col min="2718" max="2718" width="16" style="3" customWidth="1"/>
    <col min="2719" max="2719" width="21.42578125" style="3" customWidth="1"/>
    <col min="2720" max="2720" width="11.42578125" style="3" customWidth="1"/>
    <col min="2721" max="2969" width="9.140625" style="3"/>
    <col min="2970" max="2970" width="57.85546875" style="3" customWidth="1"/>
    <col min="2971" max="2971" width="10.85546875" style="3" customWidth="1"/>
    <col min="2972" max="2972" width="15.28515625" style="3" customWidth="1"/>
    <col min="2973" max="2973" width="15.42578125" style="3" customWidth="1"/>
    <col min="2974" max="2974" width="16" style="3" customWidth="1"/>
    <col min="2975" max="2975" width="21.42578125" style="3" customWidth="1"/>
    <col min="2976" max="2976" width="11.42578125" style="3" customWidth="1"/>
    <col min="2977" max="3225" width="9.140625" style="3"/>
    <col min="3226" max="3226" width="57.85546875" style="3" customWidth="1"/>
    <col min="3227" max="3227" width="10.85546875" style="3" customWidth="1"/>
    <col min="3228" max="3228" width="15.28515625" style="3" customWidth="1"/>
    <col min="3229" max="3229" width="15.42578125" style="3" customWidth="1"/>
    <col min="3230" max="3230" width="16" style="3" customWidth="1"/>
    <col min="3231" max="3231" width="21.42578125" style="3" customWidth="1"/>
    <col min="3232" max="3232" width="11.42578125" style="3" customWidth="1"/>
    <col min="3233" max="3481" width="9.140625" style="3"/>
    <col min="3482" max="3482" width="57.85546875" style="3" customWidth="1"/>
    <col min="3483" max="3483" width="10.85546875" style="3" customWidth="1"/>
    <col min="3484" max="3484" width="15.28515625" style="3" customWidth="1"/>
    <col min="3485" max="3485" width="15.42578125" style="3" customWidth="1"/>
    <col min="3486" max="3486" width="16" style="3" customWidth="1"/>
    <col min="3487" max="3487" width="21.42578125" style="3" customWidth="1"/>
    <col min="3488" max="3488" width="11.42578125" style="3" customWidth="1"/>
    <col min="3489" max="3737" width="9.140625" style="3"/>
    <col min="3738" max="3738" width="57.85546875" style="3" customWidth="1"/>
    <col min="3739" max="3739" width="10.85546875" style="3" customWidth="1"/>
    <col min="3740" max="3740" width="15.28515625" style="3" customWidth="1"/>
    <col min="3741" max="3741" width="15.42578125" style="3" customWidth="1"/>
    <col min="3742" max="3742" width="16" style="3" customWidth="1"/>
    <col min="3743" max="3743" width="21.42578125" style="3" customWidth="1"/>
    <col min="3744" max="3744" width="11.42578125" style="3" customWidth="1"/>
    <col min="3745" max="3993" width="9.140625" style="3"/>
    <col min="3994" max="3994" width="57.85546875" style="3" customWidth="1"/>
    <col min="3995" max="3995" width="10.85546875" style="3" customWidth="1"/>
    <col min="3996" max="3996" width="15.28515625" style="3" customWidth="1"/>
    <col min="3997" max="3997" width="15.42578125" style="3" customWidth="1"/>
    <col min="3998" max="3998" width="16" style="3" customWidth="1"/>
    <col min="3999" max="3999" width="21.42578125" style="3" customWidth="1"/>
    <col min="4000" max="4000" width="11.42578125" style="3" customWidth="1"/>
    <col min="4001" max="4249" width="9.140625" style="3"/>
    <col min="4250" max="4250" width="57.85546875" style="3" customWidth="1"/>
    <col min="4251" max="4251" width="10.85546875" style="3" customWidth="1"/>
    <col min="4252" max="4252" width="15.28515625" style="3" customWidth="1"/>
    <col min="4253" max="4253" width="15.42578125" style="3" customWidth="1"/>
    <col min="4254" max="4254" width="16" style="3" customWidth="1"/>
    <col min="4255" max="4255" width="21.42578125" style="3" customWidth="1"/>
    <col min="4256" max="4256" width="11.42578125" style="3" customWidth="1"/>
    <col min="4257" max="4505" width="9.140625" style="3"/>
    <col min="4506" max="4506" width="57.85546875" style="3" customWidth="1"/>
    <col min="4507" max="4507" width="10.85546875" style="3" customWidth="1"/>
    <col min="4508" max="4508" width="15.28515625" style="3" customWidth="1"/>
    <col min="4509" max="4509" width="15.42578125" style="3" customWidth="1"/>
    <col min="4510" max="4510" width="16" style="3" customWidth="1"/>
    <col min="4511" max="4511" width="21.42578125" style="3" customWidth="1"/>
    <col min="4512" max="4512" width="11.42578125" style="3" customWidth="1"/>
    <col min="4513" max="4761" width="9.140625" style="3"/>
    <col min="4762" max="4762" width="57.85546875" style="3" customWidth="1"/>
    <col min="4763" max="4763" width="10.85546875" style="3" customWidth="1"/>
    <col min="4764" max="4764" width="15.28515625" style="3" customWidth="1"/>
    <col min="4765" max="4765" width="15.42578125" style="3" customWidth="1"/>
    <col min="4766" max="4766" width="16" style="3" customWidth="1"/>
    <col min="4767" max="4767" width="21.42578125" style="3" customWidth="1"/>
    <col min="4768" max="4768" width="11.42578125" style="3" customWidth="1"/>
    <col min="4769" max="5017" width="9.140625" style="3"/>
    <col min="5018" max="5018" width="57.85546875" style="3" customWidth="1"/>
    <col min="5019" max="5019" width="10.85546875" style="3" customWidth="1"/>
    <col min="5020" max="5020" width="15.28515625" style="3" customWidth="1"/>
    <col min="5021" max="5021" width="15.42578125" style="3" customWidth="1"/>
    <col min="5022" max="5022" width="16" style="3" customWidth="1"/>
    <col min="5023" max="5023" width="21.42578125" style="3" customWidth="1"/>
    <col min="5024" max="5024" width="11.42578125" style="3" customWidth="1"/>
    <col min="5025" max="5273" width="9.140625" style="3"/>
    <col min="5274" max="5274" width="57.85546875" style="3" customWidth="1"/>
    <col min="5275" max="5275" width="10.85546875" style="3" customWidth="1"/>
    <col min="5276" max="5276" width="15.28515625" style="3" customWidth="1"/>
    <col min="5277" max="5277" width="15.42578125" style="3" customWidth="1"/>
    <col min="5278" max="5278" width="16" style="3" customWidth="1"/>
    <col min="5279" max="5279" width="21.42578125" style="3" customWidth="1"/>
    <col min="5280" max="5280" width="11.42578125" style="3" customWidth="1"/>
    <col min="5281" max="5529" width="9.140625" style="3"/>
    <col min="5530" max="5530" width="57.85546875" style="3" customWidth="1"/>
    <col min="5531" max="5531" width="10.85546875" style="3" customWidth="1"/>
    <col min="5532" max="5532" width="15.28515625" style="3" customWidth="1"/>
    <col min="5533" max="5533" width="15.42578125" style="3" customWidth="1"/>
    <col min="5534" max="5534" width="16" style="3" customWidth="1"/>
    <col min="5535" max="5535" width="21.42578125" style="3" customWidth="1"/>
    <col min="5536" max="5536" width="11.42578125" style="3" customWidth="1"/>
    <col min="5537" max="5785" width="9.140625" style="3"/>
    <col min="5786" max="5786" width="57.85546875" style="3" customWidth="1"/>
    <col min="5787" max="5787" width="10.85546875" style="3" customWidth="1"/>
    <col min="5788" max="5788" width="15.28515625" style="3" customWidth="1"/>
    <col min="5789" max="5789" width="15.42578125" style="3" customWidth="1"/>
    <col min="5790" max="5790" width="16" style="3" customWidth="1"/>
    <col min="5791" max="5791" width="21.42578125" style="3" customWidth="1"/>
    <col min="5792" max="5792" width="11.42578125" style="3" customWidth="1"/>
    <col min="5793" max="6041" width="9.140625" style="3"/>
    <col min="6042" max="6042" width="57.85546875" style="3" customWidth="1"/>
    <col min="6043" max="6043" width="10.85546875" style="3" customWidth="1"/>
    <col min="6044" max="6044" width="15.28515625" style="3" customWidth="1"/>
    <col min="6045" max="6045" width="15.42578125" style="3" customWidth="1"/>
    <col min="6046" max="6046" width="16" style="3" customWidth="1"/>
    <col min="6047" max="6047" width="21.42578125" style="3" customWidth="1"/>
    <col min="6048" max="6048" width="11.42578125" style="3" customWidth="1"/>
    <col min="6049" max="6297" width="9.140625" style="3"/>
    <col min="6298" max="6298" width="57.85546875" style="3" customWidth="1"/>
    <col min="6299" max="6299" width="10.85546875" style="3" customWidth="1"/>
    <col min="6300" max="6300" width="15.28515625" style="3" customWidth="1"/>
    <col min="6301" max="6301" width="15.42578125" style="3" customWidth="1"/>
    <col min="6302" max="6302" width="16" style="3" customWidth="1"/>
    <col min="6303" max="6303" width="21.42578125" style="3" customWidth="1"/>
    <col min="6304" max="6304" width="11.42578125" style="3" customWidth="1"/>
    <col min="6305" max="6553" width="9.140625" style="3"/>
    <col min="6554" max="6554" width="57.85546875" style="3" customWidth="1"/>
    <col min="6555" max="6555" width="10.85546875" style="3" customWidth="1"/>
    <col min="6556" max="6556" width="15.28515625" style="3" customWidth="1"/>
    <col min="6557" max="6557" width="15.42578125" style="3" customWidth="1"/>
    <col min="6558" max="6558" width="16" style="3" customWidth="1"/>
    <col min="6559" max="6559" width="21.42578125" style="3" customWidth="1"/>
    <col min="6560" max="6560" width="11.42578125" style="3" customWidth="1"/>
    <col min="6561" max="6809" width="9.140625" style="3"/>
    <col min="6810" max="6810" width="57.85546875" style="3" customWidth="1"/>
    <col min="6811" max="6811" width="10.85546875" style="3" customWidth="1"/>
    <col min="6812" max="6812" width="15.28515625" style="3" customWidth="1"/>
    <col min="6813" max="6813" width="15.42578125" style="3" customWidth="1"/>
    <col min="6814" max="6814" width="16" style="3" customWidth="1"/>
    <col min="6815" max="6815" width="21.42578125" style="3" customWidth="1"/>
    <col min="6816" max="6816" width="11.42578125" style="3" customWidth="1"/>
    <col min="6817" max="7065" width="9.140625" style="3"/>
    <col min="7066" max="7066" width="57.85546875" style="3" customWidth="1"/>
    <col min="7067" max="7067" width="10.85546875" style="3" customWidth="1"/>
    <col min="7068" max="7068" width="15.28515625" style="3" customWidth="1"/>
    <col min="7069" max="7069" width="15.42578125" style="3" customWidth="1"/>
    <col min="7070" max="7070" width="16" style="3" customWidth="1"/>
    <col min="7071" max="7071" width="21.42578125" style="3" customWidth="1"/>
    <col min="7072" max="7072" width="11.42578125" style="3" customWidth="1"/>
    <col min="7073" max="7321" width="9.140625" style="3"/>
    <col min="7322" max="7322" width="57.85546875" style="3" customWidth="1"/>
    <col min="7323" max="7323" width="10.85546875" style="3" customWidth="1"/>
    <col min="7324" max="7324" width="15.28515625" style="3" customWidth="1"/>
    <col min="7325" max="7325" width="15.42578125" style="3" customWidth="1"/>
    <col min="7326" max="7326" width="16" style="3" customWidth="1"/>
    <col min="7327" max="7327" width="21.42578125" style="3" customWidth="1"/>
    <col min="7328" max="7328" width="11.42578125" style="3" customWidth="1"/>
    <col min="7329" max="7577" width="9.140625" style="3"/>
    <col min="7578" max="7578" width="57.85546875" style="3" customWidth="1"/>
    <col min="7579" max="7579" width="10.85546875" style="3" customWidth="1"/>
    <col min="7580" max="7580" width="15.28515625" style="3" customWidth="1"/>
    <col min="7581" max="7581" width="15.42578125" style="3" customWidth="1"/>
    <col min="7582" max="7582" width="16" style="3" customWidth="1"/>
    <col min="7583" max="7583" width="21.42578125" style="3" customWidth="1"/>
    <col min="7584" max="7584" width="11.42578125" style="3" customWidth="1"/>
    <col min="7585" max="7833" width="9.140625" style="3"/>
    <col min="7834" max="7834" width="57.85546875" style="3" customWidth="1"/>
    <col min="7835" max="7835" width="10.85546875" style="3" customWidth="1"/>
    <col min="7836" max="7836" width="15.28515625" style="3" customWidth="1"/>
    <col min="7837" max="7837" width="15.42578125" style="3" customWidth="1"/>
    <col min="7838" max="7838" width="16" style="3" customWidth="1"/>
    <col min="7839" max="7839" width="21.42578125" style="3" customWidth="1"/>
    <col min="7840" max="7840" width="11.42578125" style="3" customWidth="1"/>
    <col min="7841" max="8089" width="9.140625" style="3"/>
    <col min="8090" max="8090" width="57.85546875" style="3" customWidth="1"/>
    <col min="8091" max="8091" width="10.85546875" style="3" customWidth="1"/>
    <col min="8092" max="8092" width="15.28515625" style="3" customWidth="1"/>
    <col min="8093" max="8093" width="15.42578125" style="3" customWidth="1"/>
    <col min="8094" max="8094" width="16" style="3" customWidth="1"/>
    <col min="8095" max="8095" width="21.42578125" style="3" customWidth="1"/>
    <col min="8096" max="8096" width="11.42578125" style="3" customWidth="1"/>
    <col min="8097" max="8345" width="9.140625" style="3"/>
    <col min="8346" max="8346" width="57.85546875" style="3" customWidth="1"/>
    <col min="8347" max="8347" width="10.85546875" style="3" customWidth="1"/>
    <col min="8348" max="8348" width="15.28515625" style="3" customWidth="1"/>
    <col min="8349" max="8349" width="15.42578125" style="3" customWidth="1"/>
    <col min="8350" max="8350" width="16" style="3" customWidth="1"/>
    <col min="8351" max="8351" width="21.42578125" style="3" customWidth="1"/>
    <col min="8352" max="8352" width="11.42578125" style="3" customWidth="1"/>
    <col min="8353" max="8601" width="9.140625" style="3"/>
    <col min="8602" max="8602" width="57.85546875" style="3" customWidth="1"/>
    <col min="8603" max="8603" width="10.85546875" style="3" customWidth="1"/>
    <col min="8604" max="8604" width="15.28515625" style="3" customWidth="1"/>
    <col min="8605" max="8605" width="15.42578125" style="3" customWidth="1"/>
    <col min="8606" max="8606" width="16" style="3" customWidth="1"/>
    <col min="8607" max="8607" width="21.42578125" style="3" customWidth="1"/>
    <col min="8608" max="8608" width="11.42578125" style="3" customWidth="1"/>
    <col min="8609" max="8857" width="9.140625" style="3"/>
    <col min="8858" max="8858" width="57.85546875" style="3" customWidth="1"/>
    <col min="8859" max="8859" width="10.85546875" style="3" customWidth="1"/>
    <col min="8860" max="8860" width="15.28515625" style="3" customWidth="1"/>
    <col min="8861" max="8861" width="15.42578125" style="3" customWidth="1"/>
    <col min="8862" max="8862" width="16" style="3" customWidth="1"/>
    <col min="8863" max="8863" width="21.42578125" style="3" customWidth="1"/>
    <col min="8864" max="8864" width="11.42578125" style="3" customWidth="1"/>
    <col min="8865" max="9113" width="9.140625" style="3"/>
    <col min="9114" max="9114" width="57.85546875" style="3" customWidth="1"/>
    <col min="9115" max="9115" width="10.85546875" style="3" customWidth="1"/>
    <col min="9116" max="9116" width="15.28515625" style="3" customWidth="1"/>
    <col min="9117" max="9117" width="15.42578125" style="3" customWidth="1"/>
    <col min="9118" max="9118" width="16" style="3" customWidth="1"/>
    <col min="9119" max="9119" width="21.42578125" style="3" customWidth="1"/>
    <col min="9120" max="9120" width="11.42578125" style="3" customWidth="1"/>
    <col min="9121" max="9369" width="9.140625" style="3"/>
    <col min="9370" max="9370" width="57.85546875" style="3" customWidth="1"/>
    <col min="9371" max="9371" width="10.85546875" style="3" customWidth="1"/>
    <col min="9372" max="9372" width="15.28515625" style="3" customWidth="1"/>
    <col min="9373" max="9373" width="15.42578125" style="3" customWidth="1"/>
    <col min="9374" max="9374" width="16" style="3" customWidth="1"/>
    <col min="9375" max="9375" width="21.42578125" style="3" customWidth="1"/>
    <col min="9376" max="9376" width="11.42578125" style="3" customWidth="1"/>
    <col min="9377" max="9625" width="9.140625" style="3"/>
    <col min="9626" max="9626" width="57.85546875" style="3" customWidth="1"/>
    <col min="9627" max="9627" width="10.85546875" style="3" customWidth="1"/>
    <col min="9628" max="9628" width="15.28515625" style="3" customWidth="1"/>
    <col min="9629" max="9629" width="15.42578125" style="3" customWidth="1"/>
    <col min="9630" max="9630" width="16" style="3" customWidth="1"/>
    <col min="9631" max="9631" width="21.42578125" style="3" customWidth="1"/>
    <col min="9632" max="9632" width="11.42578125" style="3" customWidth="1"/>
    <col min="9633" max="9881" width="9.140625" style="3"/>
    <col min="9882" max="9882" width="57.85546875" style="3" customWidth="1"/>
    <col min="9883" max="9883" width="10.85546875" style="3" customWidth="1"/>
    <col min="9884" max="9884" width="15.28515625" style="3" customWidth="1"/>
    <col min="9885" max="9885" width="15.42578125" style="3" customWidth="1"/>
    <col min="9886" max="9886" width="16" style="3" customWidth="1"/>
    <col min="9887" max="9887" width="21.42578125" style="3" customWidth="1"/>
    <col min="9888" max="9888" width="11.42578125" style="3" customWidth="1"/>
    <col min="9889" max="10137" width="9.140625" style="3"/>
    <col min="10138" max="10138" width="57.85546875" style="3" customWidth="1"/>
    <col min="10139" max="10139" width="10.85546875" style="3" customWidth="1"/>
    <col min="10140" max="10140" width="15.28515625" style="3" customWidth="1"/>
    <col min="10141" max="10141" width="15.42578125" style="3" customWidth="1"/>
    <col min="10142" max="10142" width="16" style="3" customWidth="1"/>
    <col min="10143" max="10143" width="21.42578125" style="3" customWidth="1"/>
    <col min="10144" max="10144" width="11.42578125" style="3" customWidth="1"/>
    <col min="10145" max="10393" width="9.140625" style="3"/>
    <col min="10394" max="10394" width="57.85546875" style="3" customWidth="1"/>
    <col min="10395" max="10395" width="10.85546875" style="3" customWidth="1"/>
    <col min="10396" max="10396" width="15.28515625" style="3" customWidth="1"/>
    <col min="10397" max="10397" width="15.42578125" style="3" customWidth="1"/>
    <col min="10398" max="10398" width="16" style="3" customWidth="1"/>
    <col min="10399" max="10399" width="21.42578125" style="3" customWidth="1"/>
    <col min="10400" max="10400" width="11.42578125" style="3" customWidth="1"/>
    <col min="10401" max="10649" width="9.140625" style="3"/>
    <col min="10650" max="10650" width="57.85546875" style="3" customWidth="1"/>
    <col min="10651" max="10651" width="10.85546875" style="3" customWidth="1"/>
    <col min="10652" max="10652" width="15.28515625" style="3" customWidth="1"/>
    <col min="10653" max="10653" width="15.42578125" style="3" customWidth="1"/>
    <col min="10654" max="10654" width="16" style="3" customWidth="1"/>
    <col min="10655" max="10655" width="21.42578125" style="3" customWidth="1"/>
    <col min="10656" max="10656" width="11.42578125" style="3" customWidth="1"/>
    <col min="10657" max="10905" width="9.140625" style="3"/>
    <col min="10906" max="10906" width="57.85546875" style="3" customWidth="1"/>
    <col min="10907" max="10907" width="10.85546875" style="3" customWidth="1"/>
    <col min="10908" max="10908" width="15.28515625" style="3" customWidth="1"/>
    <col min="10909" max="10909" width="15.42578125" style="3" customWidth="1"/>
    <col min="10910" max="10910" width="16" style="3" customWidth="1"/>
    <col min="10911" max="10911" width="21.42578125" style="3" customWidth="1"/>
    <col min="10912" max="10912" width="11.42578125" style="3" customWidth="1"/>
    <col min="10913" max="11161" width="9.140625" style="3"/>
    <col min="11162" max="11162" width="57.85546875" style="3" customWidth="1"/>
    <col min="11163" max="11163" width="10.85546875" style="3" customWidth="1"/>
    <col min="11164" max="11164" width="15.28515625" style="3" customWidth="1"/>
    <col min="11165" max="11165" width="15.42578125" style="3" customWidth="1"/>
    <col min="11166" max="11166" width="16" style="3" customWidth="1"/>
    <col min="11167" max="11167" width="21.42578125" style="3" customWidth="1"/>
    <col min="11168" max="11168" width="11.42578125" style="3" customWidth="1"/>
    <col min="11169" max="11417" width="9.140625" style="3"/>
    <col min="11418" max="11418" width="57.85546875" style="3" customWidth="1"/>
    <col min="11419" max="11419" width="10.85546875" style="3" customWidth="1"/>
    <col min="11420" max="11420" width="15.28515625" style="3" customWidth="1"/>
    <col min="11421" max="11421" width="15.42578125" style="3" customWidth="1"/>
    <col min="11422" max="11422" width="16" style="3" customWidth="1"/>
    <col min="11423" max="11423" width="21.42578125" style="3" customWidth="1"/>
    <col min="11424" max="11424" width="11.42578125" style="3" customWidth="1"/>
    <col min="11425" max="11673" width="9.140625" style="3"/>
    <col min="11674" max="11674" width="57.85546875" style="3" customWidth="1"/>
    <col min="11675" max="11675" width="10.85546875" style="3" customWidth="1"/>
    <col min="11676" max="11676" width="15.28515625" style="3" customWidth="1"/>
    <col min="11677" max="11677" width="15.42578125" style="3" customWidth="1"/>
    <col min="11678" max="11678" width="16" style="3" customWidth="1"/>
    <col min="11679" max="11679" width="21.42578125" style="3" customWidth="1"/>
    <col min="11680" max="11680" width="11.42578125" style="3" customWidth="1"/>
    <col min="11681" max="11929" width="9.140625" style="3"/>
    <col min="11930" max="11930" width="57.85546875" style="3" customWidth="1"/>
    <col min="11931" max="11931" width="10.85546875" style="3" customWidth="1"/>
    <col min="11932" max="11932" width="15.28515625" style="3" customWidth="1"/>
    <col min="11933" max="11933" width="15.42578125" style="3" customWidth="1"/>
    <col min="11934" max="11934" width="16" style="3" customWidth="1"/>
    <col min="11935" max="11935" width="21.42578125" style="3" customWidth="1"/>
    <col min="11936" max="11936" width="11.42578125" style="3" customWidth="1"/>
    <col min="11937" max="12185" width="9.140625" style="3"/>
    <col min="12186" max="12186" width="57.85546875" style="3" customWidth="1"/>
    <col min="12187" max="12187" width="10.85546875" style="3" customWidth="1"/>
    <col min="12188" max="12188" width="15.28515625" style="3" customWidth="1"/>
    <col min="12189" max="12189" width="15.42578125" style="3" customWidth="1"/>
    <col min="12190" max="12190" width="16" style="3" customWidth="1"/>
    <col min="12191" max="12191" width="21.42578125" style="3" customWidth="1"/>
    <col min="12192" max="12192" width="11.42578125" style="3" customWidth="1"/>
    <col min="12193" max="12441" width="9.140625" style="3"/>
    <col min="12442" max="12442" width="57.85546875" style="3" customWidth="1"/>
    <col min="12443" max="12443" width="10.85546875" style="3" customWidth="1"/>
    <col min="12444" max="12444" width="15.28515625" style="3" customWidth="1"/>
    <col min="12445" max="12445" width="15.42578125" style="3" customWidth="1"/>
    <col min="12446" max="12446" width="16" style="3" customWidth="1"/>
    <col min="12447" max="12447" width="21.42578125" style="3" customWidth="1"/>
    <col min="12448" max="12448" width="11.42578125" style="3" customWidth="1"/>
    <col min="12449" max="12697" width="9.140625" style="3"/>
    <col min="12698" max="12698" width="57.85546875" style="3" customWidth="1"/>
    <col min="12699" max="12699" width="10.85546875" style="3" customWidth="1"/>
    <col min="12700" max="12700" width="15.28515625" style="3" customWidth="1"/>
    <col min="12701" max="12701" width="15.42578125" style="3" customWidth="1"/>
    <col min="12702" max="12702" width="16" style="3" customWidth="1"/>
    <col min="12703" max="12703" width="21.42578125" style="3" customWidth="1"/>
    <col min="12704" max="12704" width="11.42578125" style="3" customWidth="1"/>
    <col min="12705" max="12953" width="9.140625" style="3"/>
    <col min="12954" max="12954" width="57.85546875" style="3" customWidth="1"/>
    <col min="12955" max="12955" width="10.85546875" style="3" customWidth="1"/>
    <col min="12956" max="12956" width="15.28515625" style="3" customWidth="1"/>
    <col min="12957" max="12957" width="15.42578125" style="3" customWidth="1"/>
    <col min="12958" max="12958" width="16" style="3" customWidth="1"/>
    <col min="12959" max="12959" width="21.42578125" style="3" customWidth="1"/>
    <col min="12960" max="12960" width="11.42578125" style="3" customWidth="1"/>
    <col min="12961" max="13209" width="9.140625" style="3"/>
    <col min="13210" max="13210" width="57.85546875" style="3" customWidth="1"/>
    <col min="13211" max="13211" width="10.85546875" style="3" customWidth="1"/>
    <col min="13212" max="13212" width="15.28515625" style="3" customWidth="1"/>
    <col min="13213" max="13213" width="15.42578125" style="3" customWidth="1"/>
    <col min="13214" max="13214" width="16" style="3" customWidth="1"/>
    <col min="13215" max="13215" width="21.42578125" style="3" customWidth="1"/>
    <col min="13216" max="13216" width="11.42578125" style="3" customWidth="1"/>
    <col min="13217" max="13465" width="9.140625" style="3"/>
    <col min="13466" max="13466" width="57.85546875" style="3" customWidth="1"/>
    <col min="13467" max="13467" width="10.85546875" style="3" customWidth="1"/>
    <col min="13468" max="13468" width="15.28515625" style="3" customWidth="1"/>
    <col min="13469" max="13469" width="15.42578125" style="3" customWidth="1"/>
    <col min="13470" max="13470" width="16" style="3" customWidth="1"/>
    <col min="13471" max="13471" width="21.42578125" style="3" customWidth="1"/>
    <col min="13472" max="13472" width="11.42578125" style="3" customWidth="1"/>
    <col min="13473" max="13721" width="9.140625" style="3"/>
    <col min="13722" max="13722" width="57.85546875" style="3" customWidth="1"/>
    <col min="13723" max="13723" width="10.85546875" style="3" customWidth="1"/>
    <col min="13724" max="13724" width="15.28515625" style="3" customWidth="1"/>
    <col min="13725" max="13725" width="15.42578125" style="3" customWidth="1"/>
    <col min="13726" max="13726" width="16" style="3" customWidth="1"/>
    <col min="13727" max="13727" width="21.42578125" style="3" customWidth="1"/>
    <col min="13728" max="13728" width="11.42578125" style="3" customWidth="1"/>
    <col min="13729" max="13977" width="9.140625" style="3"/>
    <col min="13978" max="13978" width="57.85546875" style="3" customWidth="1"/>
    <col min="13979" max="13979" width="10.85546875" style="3" customWidth="1"/>
    <col min="13980" max="13980" width="15.28515625" style="3" customWidth="1"/>
    <col min="13981" max="13981" width="15.42578125" style="3" customWidth="1"/>
    <col min="13982" max="13982" width="16" style="3" customWidth="1"/>
    <col min="13983" max="13983" width="21.42578125" style="3" customWidth="1"/>
    <col min="13984" max="13984" width="11.42578125" style="3" customWidth="1"/>
    <col min="13985" max="14233" width="9.140625" style="3"/>
    <col min="14234" max="14234" width="57.85546875" style="3" customWidth="1"/>
    <col min="14235" max="14235" width="10.85546875" style="3" customWidth="1"/>
    <col min="14236" max="14236" width="15.28515625" style="3" customWidth="1"/>
    <col min="14237" max="14237" width="15.42578125" style="3" customWidth="1"/>
    <col min="14238" max="14238" width="16" style="3" customWidth="1"/>
    <col min="14239" max="14239" width="21.42578125" style="3" customWidth="1"/>
    <col min="14240" max="14240" width="11.42578125" style="3" customWidth="1"/>
    <col min="14241" max="14489" width="9.140625" style="3"/>
    <col min="14490" max="14490" width="57.85546875" style="3" customWidth="1"/>
    <col min="14491" max="14491" width="10.85546875" style="3" customWidth="1"/>
    <col min="14492" max="14492" width="15.28515625" style="3" customWidth="1"/>
    <col min="14493" max="14493" width="15.42578125" style="3" customWidth="1"/>
    <col min="14494" max="14494" width="16" style="3" customWidth="1"/>
    <col min="14495" max="14495" width="21.42578125" style="3" customWidth="1"/>
    <col min="14496" max="14496" width="11.42578125" style="3" customWidth="1"/>
    <col min="14497" max="14745" width="9.140625" style="3"/>
    <col min="14746" max="14746" width="57.85546875" style="3" customWidth="1"/>
    <col min="14747" max="14747" width="10.85546875" style="3" customWidth="1"/>
    <col min="14748" max="14748" width="15.28515625" style="3" customWidth="1"/>
    <col min="14749" max="14749" width="15.42578125" style="3" customWidth="1"/>
    <col min="14750" max="14750" width="16" style="3" customWidth="1"/>
    <col min="14751" max="14751" width="21.42578125" style="3" customWidth="1"/>
    <col min="14752" max="14752" width="11.42578125" style="3" customWidth="1"/>
    <col min="14753" max="15001" width="9.140625" style="3"/>
    <col min="15002" max="15002" width="57.85546875" style="3" customWidth="1"/>
    <col min="15003" max="15003" width="10.85546875" style="3" customWidth="1"/>
    <col min="15004" max="15004" width="15.28515625" style="3" customWidth="1"/>
    <col min="15005" max="15005" width="15.42578125" style="3" customWidth="1"/>
    <col min="15006" max="15006" width="16" style="3" customWidth="1"/>
    <col min="15007" max="15007" width="21.42578125" style="3" customWidth="1"/>
    <col min="15008" max="15008" width="11.42578125" style="3" customWidth="1"/>
    <col min="15009" max="15257" width="9.140625" style="3"/>
    <col min="15258" max="15258" width="57.85546875" style="3" customWidth="1"/>
    <col min="15259" max="15259" width="10.85546875" style="3" customWidth="1"/>
    <col min="15260" max="15260" width="15.28515625" style="3" customWidth="1"/>
    <col min="15261" max="15261" width="15.42578125" style="3" customWidth="1"/>
    <col min="15262" max="15262" width="16" style="3" customWidth="1"/>
    <col min="15263" max="15263" width="21.42578125" style="3" customWidth="1"/>
    <col min="15264" max="15264" width="11.42578125" style="3" customWidth="1"/>
    <col min="15265" max="15513" width="9.140625" style="3"/>
    <col min="15514" max="15514" width="57.85546875" style="3" customWidth="1"/>
    <col min="15515" max="15515" width="10.85546875" style="3" customWidth="1"/>
    <col min="15516" max="15516" width="15.28515625" style="3" customWidth="1"/>
    <col min="15517" max="15517" width="15.42578125" style="3" customWidth="1"/>
    <col min="15518" max="15518" width="16" style="3" customWidth="1"/>
    <col min="15519" max="15519" width="21.42578125" style="3" customWidth="1"/>
    <col min="15520" max="15520" width="11.42578125" style="3" customWidth="1"/>
    <col min="15521" max="15769" width="9.140625" style="3"/>
    <col min="15770" max="15770" width="57.85546875" style="3" customWidth="1"/>
    <col min="15771" max="15771" width="10.85546875" style="3" customWidth="1"/>
    <col min="15772" max="15772" width="15.28515625" style="3" customWidth="1"/>
    <col min="15773" max="15773" width="15.42578125" style="3" customWidth="1"/>
    <col min="15774" max="15774" width="16" style="3" customWidth="1"/>
    <col min="15775" max="15775" width="21.42578125" style="3" customWidth="1"/>
    <col min="15776" max="15776" width="11.42578125" style="3" customWidth="1"/>
    <col min="15777" max="16025" width="9.140625" style="3"/>
    <col min="16026" max="16026" width="57.85546875" style="3" customWidth="1"/>
    <col min="16027" max="16027" width="10.85546875" style="3" customWidth="1"/>
    <col min="16028" max="16028" width="15.28515625" style="3" customWidth="1"/>
    <col min="16029" max="16029" width="15.42578125" style="3" customWidth="1"/>
    <col min="16030" max="16030" width="16" style="3" customWidth="1"/>
    <col min="16031" max="16031" width="21.42578125" style="3" customWidth="1"/>
    <col min="16032" max="16032" width="11.42578125" style="3" customWidth="1"/>
    <col min="16033" max="16384" width="9.140625" style="3"/>
  </cols>
  <sheetData>
    <row r="1" spans="1:17" ht="54" customHeight="1" x14ac:dyDescent="0.35">
      <c r="A1" s="151"/>
      <c r="B1" s="151"/>
      <c r="C1" s="151"/>
      <c r="D1" s="413" t="s">
        <v>571</v>
      </c>
      <c r="E1" s="414"/>
      <c r="F1" s="414"/>
      <c r="G1" s="171"/>
      <c r="H1" s="151"/>
    </row>
    <row r="2" spans="1:17" ht="31.5" customHeight="1" x14ac:dyDescent="0.35">
      <c r="A2" s="402" t="s">
        <v>53</v>
      </c>
      <c r="B2" s="402"/>
      <c r="C2" s="402"/>
      <c r="D2" s="402"/>
      <c r="E2" s="402"/>
      <c r="F2" s="402"/>
      <c r="G2" s="171"/>
      <c r="H2" s="151"/>
      <c r="N2" s="418" t="s">
        <v>712</v>
      </c>
      <c r="O2" s="418"/>
    </row>
    <row r="3" spans="1:17" ht="24.75" customHeight="1" x14ac:dyDescent="0.35">
      <c r="A3" s="415" t="str">
        <f>'Баланс UDC'!A3</f>
        <v>АО "UD Capital"</v>
      </c>
      <c r="B3" s="415"/>
      <c r="C3" s="415"/>
      <c r="D3" s="415"/>
      <c r="E3" s="415"/>
      <c r="F3" s="415"/>
      <c r="G3" s="171"/>
      <c r="H3" s="151"/>
    </row>
    <row r="4" spans="1:17" ht="24.75" customHeight="1" x14ac:dyDescent="0.35">
      <c r="A4" s="172" t="str">
        <f>'Баланс UDC'!A4</f>
        <v xml:space="preserve"> по состоянию на 1 </v>
      </c>
      <c r="B4" s="151" t="str">
        <f>'Баланс UDC'!B4</f>
        <v>Июля 2024 года</v>
      </c>
      <c r="C4" s="151"/>
      <c r="D4" s="151"/>
      <c r="E4" s="151"/>
      <c r="F4" s="151"/>
      <c r="G4" s="171"/>
      <c r="H4" s="151"/>
      <c r="N4" s="416" t="s">
        <v>285</v>
      </c>
      <c r="O4" s="287" t="s">
        <v>286</v>
      </c>
      <c r="P4" s="416" t="s">
        <v>265</v>
      </c>
      <c r="Q4" s="416" t="s">
        <v>266</v>
      </c>
    </row>
    <row r="5" spans="1:17" s="4" customFormat="1" ht="24.75" customHeight="1" x14ac:dyDescent="0.35">
      <c r="A5" s="173"/>
      <c r="B5" s="173"/>
      <c r="C5" s="173"/>
      <c r="D5" s="173"/>
      <c r="E5" s="173"/>
      <c r="F5" s="174" t="s">
        <v>0</v>
      </c>
      <c r="G5" s="175"/>
      <c r="H5" s="173"/>
      <c r="N5" s="417"/>
      <c r="O5" s="287" t="s">
        <v>576</v>
      </c>
      <c r="P5" s="417"/>
      <c r="Q5" s="417"/>
    </row>
    <row r="6" spans="1:17" ht="149.25" customHeight="1" x14ac:dyDescent="0.35">
      <c r="A6" s="176" t="s">
        <v>15</v>
      </c>
      <c r="B6" s="176" t="s">
        <v>16</v>
      </c>
      <c r="C6" s="176" t="s">
        <v>54</v>
      </c>
      <c r="D6" s="176" t="s">
        <v>55</v>
      </c>
      <c r="E6" s="177" t="s">
        <v>56</v>
      </c>
      <c r="F6" s="176" t="s">
        <v>57</v>
      </c>
      <c r="G6" s="171"/>
      <c r="H6" s="151"/>
      <c r="I6" s="25" t="s">
        <v>493</v>
      </c>
      <c r="J6" s="5"/>
      <c r="K6" s="5"/>
      <c r="L6" s="5"/>
      <c r="N6" s="288" t="s">
        <v>288</v>
      </c>
      <c r="O6" s="99" t="s">
        <v>287</v>
      </c>
      <c r="P6" s="153"/>
      <c r="Q6" s="153"/>
    </row>
    <row r="7" spans="1:17" ht="39" customHeight="1" x14ac:dyDescent="0.35">
      <c r="A7" s="178">
        <v>1</v>
      </c>
      <c r="B7" s="178">
        <v>2</v>
      </c>
      <c r="C7" s="178">
        <v>3</v>
      </c>
      <c r="D7" s="178">
        <v>4</v>
      </c>
      <c r="E7" s="179">
        <v>5</v>
      </c>
      <c r="F7" s="178">
        <v>6</v>
      </c>
      <c r="G7" s="171"/>
      <c r="H7" s="151"/>
      <c r="I7" s="350" t="s">
        <v>711</v>
      </c>
      <c r="J7" s="5"/>
      <c r="K7" s="5"/>
      <c r="L7" s="5"/>
      <c r="N7" s="289"/>
      <c r="O7" s="382"/>
      <c r="P7" s="383"/>
      <c r="Q7" s="381"/>
    </row>
    <row r="8" spans="1:17" ht="24.75" customHeight="1" x14ac:dyDescent="0.35">
      <c r="A8" s="180" t="s">
        <v>172</v>
      </c>
      <c r="B8" s="181" t="s">
        <v>84</v>
      </c>
      <c r="C8" s="182">
        <f>C10+C11+C24+C25</f>
        <v>320</v>
      </c>
      <c r="D8" s="182">
        <f>D10+D11+D24+D25</f>
        <v>320</v>
      </c>
      <c r="E8" s="182"/>
      <c r="F8" s="182"/>
      <c r="G8" s="171"/>
      <c r="H8" s="151"/>
      <c r="I8" s="5" t="s">
        <v>283</v>
      </c>
      <c r="J8" s="5" t="s">
        <v>284</v>
      </c>
      <c r="K8" s="5"/>
      <c r="L8" s="5"/>
      <c r="N8" s="291"/>
      <c r="O8" s="384"/>
      <c r="P8" s="379"/>
      <c r="Q8" s="378"/>
    </row>
    <row r="9" spans="1:17" ht="24.75" customHeight="1" x14ac:dyDescent="0.35">
      <c r="A9" s="183" t="s">
        <v>173</v>
      </c>
      <c r="B9" s="181" t="s">
        <v>67</v>
      </c>
      <c r="C9" s="184" t="s">
        <v>67</v>
      </c>
      <c r="D9" s="185" t="s">
        <v>67</v>
      </c>
      <c r="E9" s="186"/>
      <c r="F9" s="187"/>
      <c r="G9" s="171"/>
      <c r="H9" s="151"/>
      <c r="I9" s="6" t="s">
        <v>285</v>
      </c>
      <c r="J9" s="7" t="s">
        <v>286</v>
      </c>
      <c r="K9" s="7" t="s">
        <v>265</v>
      </c>
      <c r="L9" s="7" t="s">
        <v>266</v>
      </c>
      <c r="N9" s="291"/>
      <c r="O9" s="384"/>
      <c r="P9" s="379"/>
      <c r="Q9" s="378"/>
    </row>
    <row r="10" spans="1:17" ht="24.75" customHeight="1" x14ac:dyDescent="0.35">
      <c r="A10" s="188" t="s">
        <v>58</v>
      </c>
      <c r="B10" s="181" t="s">
        <v>1</v>
      </c>
      <c r="C10" s="189">
        <f>D10-G10</f>
        <v>320</v>
      </c>
      <c r="D10" s="190">
        <f>ROUND(L18/1000,0)+1</f>
        <v>320</v>
      </c>
      <c r="E10" s="191"/>
      <c r="F10" s="192"/>
      <c r="G10" s="171"/>
      <c r="H10" s="151"/>
      <c r="I10" s="8">
        <v>5610</v>
      </c>
      <c r="J10" s="17" t="s">
        <v>287</v>
      </c>
      <c r="K10" s="9"/>
      <c r="L10" s="9"/>
      <c r="N10" s="286"/>
      <c r="O10" s="384"/>
      <c r="P10" s="379"/>
      <c r="Q10" s="378"/>
    </row>
    <row r="11" spans="1:17" ht="24.75" customHeight="1" x14ac:dyDescent="0.35">
      <c r="A11" s="188" t="s">
        <v>59</v>
      </c>
      <c r="B11" s="181" t="s">
        <v>2</v>
      </c>
      <c r="C11" s="189">
        <f>C13+C17+C21</f>
        <v>0</v>
      </c>
      <c r="D11" s="193">
        <f>D13+D17+D21</f>
        <v>0</v>
      </c>
      <c r="E11" s="193"/>
      <c r="F11" s="193"/>
      <c r="G11" s="171"/>
      <c r="H11" s="151"/>
      <c r="I11" s="10" t="s">
        <v>477</v>
      </c>
      <c r="J11" s="11">
        <v>5610</v>
      </c>
      <c r="K11" s="100">
        <f>O18</f>
        <v>161888.35999999999</v>
      </c>
      <c r="L11" s="12"/>
      <c r="N11" s="286"/>
      <c r="O11" s="384"/>
      <c r="P11" s="379"/>
      <c r="Q11" s="378"/>
    </row>
    <row r="12" spans="1:17" ht="24.75" customHeight="1" x14ac:dyDescent="0.35">
      <c r="A12" s="196" t="s">
        <v>173</v>
      </c>
      <c r="B12" s="181" t="s">
        <v>67</v>
      </c>
      <c r="C12" s="184" t="s">
        <v>67</v>
      </c>
      <c r="D12" s="197" t="s">
        <v>67</v>
      </c>
      <c r="E12" s="198"/>
      <c r="F12" s="199"/>
      <c r="G12" s="171"/>
      <c r="H12" s="151"/>
      <c r="I12" s="15" t="s">
        <v>304</v>
      </c>
      <c r="J12" s="11">
        <v>6010</v>
      </c>
      <c r="K12" s="12"/>
      <c r="L12" s="280"/>
      <c r="N12" s="286"/>
      <c r="O12" s="384"/>
      <c r="P12" s="379"/>
      <c r="Q12" s="378"/>
    </row>
    <row r="13" spans="1:17" ht="39.75" customHeight="1" x14ac:dyDescent="0.35">
      <c r="A13" s="200" t="s">
        <v>310</v>
      </c>
      <c r="B13" s="201" t="s">
        <v>480</v>
      </c>
      <c r="C13" s="202">
        <f>D13-G13</f>
        <v>0</v>
      </c>
      <c r="D13" s="202">
        <f>D15+D16+ROUND((Q11+Q12)/1000,0)</f>
        <v>0</v>
      </c>
      <c r="E13" s="202"/>
      <c r="F13" s="202"/>
      <c r="G13" s="171"/>
      <c r="H13" s="151"/>
      <c r="I13" s="15" t="s">
        <v>301</v>
      </c>
      <c r="J13" s="18" t="s">
        <v>288</v>
      </c>
      <c r="K13" s="12"/>
      <c r="L13" s="20"/>
      <c r="N13" s="289"/>
      <c r="O13" s="382"/>
      <c r="P13" s="381"/>
      <c r="Q13" s="383"/>
    </row>
    <row r="14" spans="1:17" ht="24.75" customHeight="1" x14ac:dyDescent="0.35">
      <c r="A14" s="196" t="s">
        <v>173</v>
      </c>
      <c r="B14" s="181"/>
      <c r="C14" s="193"/>
      <c r="D14" s="203"/>
      <c r="E14" s="194"/>
      <c r="F14" s="195"/>
      <c r="G14" s="171"/>
      <c r="H14" s="151"/>
      <c r="I14" s="15" t="s">
        <v>302</v>
      </c>
      <c r="J14" s="18" t="s">
        <v>289</v>
      </c>
      <c r="K14" s="12"/>
      <c r="L14" s="20"/>
      <c r="N14" s="288"/>
      <c r="O14" s="380"/>
      <c r="P14" s="381"/>
      <c r="Q14" s="381"/>
    </row>
    <row r="15" spans="1:17" ht="51" customHeight="1" x14ac:dyDescent="0.35">
      <c r="A15" s="204" t="s">
        <v>308</v>
      </c>
      <c r="B15" s="181" t="s">
        <v>481</v>
      </c>
      <c r="C15" s="193">
        <f>D15-G15</f>
        <v>0</v>
      </c>
      <c r="D15" s="203">
        <f>ROUND(L20/1000,0)-D19</f>
        <v>0</v>
      </c>
      <c r="E15" s="194"/>
      <c r="F15" s="195"/>
      <c r="G15" s="171"/>
      <c r="H15" s="151"/>
      <c r="I15" s="15" t="s">
        <v>303</v>
      </c>
      <c r="J15" s="18" t="s">
        <v>290</v>
      </c>
      <c r="K15" s="12"/>
      <c r="L15" s="20"/>
      <c r="N15" s="288"/>
      <c r="O15" s="99" t="s">
        <v>297</v>
      </c>
      <c r="P15" s="153"/>
      <c r="Q15" s="153"/>
    </row>
    <row r="16" spans="1:17" ht="54" customHeight="1" x14ac:dyDescent="0.35">
      <c r="A16" s="204" t="s">
        <v>309</v>
      </c>
      <c r="B16" s="181" t="s">
        <v>482</v>
      </c>
      <c r="C16" s="189">
        <f>D16-G16</f>
        <v>0</v>
      </c>
      <c r="D16" s="203">
        <f>ROUND(L14/1000,0)-D20</f>
        <v>0</v>
      </c>
      <c r="E16" s="194"/>
      <c r="F16" s="195"/>
      <c r="G16" s="171"/>
      <c r="H16" s="151"/>
      <c r="I16" s="15" t="s">
        <v>569</v>
      </c>
      <c r="J16" s="279" t="s">
        <v>568</v>
      </c>
      <c r="K16" s="281"/>
      <c r="L16" s="20"/>
      <c r="N16" s="21"/>
    </row>
    <row r="17" spans="1:20" ht="57.75" customHeight="1" x14ac:dyDescent="0.35">
      <c r="A17" s="200" t="s">
        <v>311</v>
      </c>
      <c r="B17" s="201" t="s">
        <v>483</v>
      </c>
      <c r="C17" s="202">
        <f>D17-G17</f>
        <v>0</v>
      </c>
      <c r="D17" s="202">
        <f>ROUND(Q10/1000,0)</f>
        <v>0</v>
      </c>
      <c r="E17" s="202"/>
      <c r="F17" s="202"/>
      <c r="G17" s="171"/>
      <c r="H17" s="151"/>
      <c r="I17" s="15" t="s">
        <v>560</v>
      </c>
      <c r="J17" s="279" t="s">
        <v>558</v>
      </c>
      <c r="K17" s="281"/>
      <c r="L17" s="20"/>
      <c r="N17" s="99" t="s">
        <v>287</v>
      </c>
      <c r="O17" s="153"/>
      <c r="P17" s="153"/>
      <c r="R17" s="99"/>
      <c r="S17" s="153"/>
      <c r="T17" s="153"/>
    </row>
    <row r="18" spans="1:20" ht="24.75" customHeight="1" x14ac:dyDescent="0.35">
      <c r="A18" s="196" t="s">
        <v>173</v>
      </c>
      <c r="B18" s="181"/>
      <c r="C18" s="193"/>
      <c r="D18" s="203"/>
      <c r="E18" s="194"/>
      <c r="F18" s="195"/>
      <c r="G18" s="171"/>
      <c r="H18" s="151"/>
      <c r="I18" s="15" t="s">
        <v>723</v>
      </c>
      <c r="J18" s="279" t="s">
        <v>722</v>
      </c>
      <c r="K18" s="281"/>
      <c r="L18" s="20">
        <f>P19</f>
        <v>319305.58</v>
      </c>
      <c r="N18" s="386" t="s">
        <v>513</v>
      </c>
      <c r="O18" s="387">
        <v>161888.35999999999</v>
      </c>
      <c r="P18" s="388"/>
      <c r="Q18" s="358"/>
      <c r="R18" s="286"/>
      <c r="S18" s="26"/>
      <c r="T18" s="359"/>
    </row>
    <row r="19" spans="1:20" ht="50.25" customHeight="1" x14ac:dyDescent="0.35">
      <c r="A19" s="204" t="s">
        <v>312</v>
      </c>
      <c r="B19" s="181" t="s">
        <v>484</v>
      </c>
      <c r="C19" s="189">
        <f>D19-G19</f>
        <v>0</v>
      </c>
      <c r="D19" s="203">
        <v>0</v>
      </c>
      <c r="E19" s="194"/>
      <c r="F19" s="195"/>
      <c r="G19" s="171"/>
      <c r="H19" s="151"/>
      <c r="I19" s="15" t="s">
        <v>561</v>
      </c>
      <c r="J19" s="279" t="s">
        <v>559</v>
      </c>
      <c r="K19" s="281"/>
      <c r="L19" s="20"/>
      <c r="N19" s="386" t="s">
        <v>722</v>
      </c>
      <c r="O19" s="388"/>
      <c r="P19" s="387">
        <v>319305.58</v>
      </c>
      <c r="Q19" s="358"/>
      <c r="R19" s="286"/>
      <c r="S19" s="359"/>
      <c r="T19" s="26"/>
    </row>
    <row r="20" spans="1:20" ht="36.75" customHeight="1" x14ac:dyDescent="0.35">
      <c r="A20" s="204" t="s">
        <v>313</v>
      </c>
      <c r="B20" s="181" t="s">
        <v>485</v>
      </c>
      <c r="C20" s="189">
        <f>D20-G20</f>
        <v>0</v>
      </c>
      <c r="D20" s="203">
        <v>0</v>
      </c>
      <c r="E20" s="194"/>
      <c r="F20" s="195"/>
      <c r="G20" s="171"/>
      <c r="H20" s="151"/>
      <c r="I20" s="15" t="s">
        <v>307</v>
      </c>
      <c r="J20" s="11">
        <v>6120</v>
      </c>
      <c r="K20" s="12"/>
      <c r="L20" s="280"/>
      <c r="N20" s="386" t="s">
        <v>508</v>
      </c>
      <c r="O20" s="388"/>
      <c r="P20" s="387">
        <v>6180</v>
      </c>
      <c r="Q20" s="358"/>
      <c r="R20" s="286"/>
      <c r="S20" s="359"/>
      <c r="T20" s="26"/>
    </row>
    <row r="21" spans="1:20" ht="38.25" customHeight="1" x14ac:dyDescent="0.35">
      <c r="A21" s="200" t="s">
        <v>314</v>
      </c>
      <c r="B21" s="201" t="s">
        <v>486</v>
      </c>
      <c r="C21" s="202">
        <f>D21-G21</f>
        <v>0</v>
      </c>
      <c r="D21" s="202">
        <f>ROUND((L13-Q10-Q11-Q12)/1000,0)</f>
        <v>0</v>
      </c>
      <c r="E21" s="202"/>
      <c r="F21" s="202"/>
      <c r="G21" s="171"/>
      <c r="H21" s="151"/>
      <c r="I21" s="15" t="s">
        <v>563</v>
      </c>
      <c r="J21" s="18" t="s">
        <v>291</v>
      </c>
      <c r="K21" s="12"/>
      <c r="L21" s="280"/>
      <c r="M21" s="351">
        <f>L21-K40</f>
        <v>0</v>
      </c>
      <c r="N21" s="386" t="s">
        <v>507</v>
      </c>
      <c r="O21" s="387">
        <v>97011.34</v>
      </c>
      <c r="P21" s="388"/>
      <c r="Q21" s="358"/>
      <c r="R21" s="286"/>
      <c r="S21" s="359"/>
      <c r="T21" s="26"/>
    </row>
    <row r="22" spans="1:20" ht="24.75" customHeight="1" x14ac:dyDescent="0.35">
      <c r="A22" s="196" t="s">
        <v>173</v>
      </c>
      <c r="B22" s="181"/>
      <c r="C22" s="193"/>
      <c r="D22" s="203"/>
      <c r="E22" s="194"/>
      <c r="F22" s="195"/>
      <c r="G22" s="171"/>
      <c r="H22" s="151"/>
      <c r="I22" s="15" t="s">
        <v>305</v>
      </c>
      <c r="J22" s="18" t="s">
        <v>298</v>
      </c>
      <c r="K22" s="12"/>
      <c r="L22" s="280"/>
      <c r="M22" s="352"/>
      <c r="N22" s="386" t="s">
        <v>509</v>
      </c>
      <c r="O22" s="387">
        <v>6180</v>
      </c>
      <c r="P22" s="388"/>
      <c r="Q22" s="358"/>
      <c r="R22" s="286"/>
      <c r="S22" s="359"/>
      <c r="T22" s="26"/>
    </row>
    <row r="23" spans="1:20" ht="39" customHeight="1" x14ac:dyDescent="0.35">
      <c r="A23" s="204" t="s">
        <v>315</v>
      </c>
      <c r="B23" s="181" t="s">
        <v>487</v>
      </c>
      <c r="C23" s="189">
        <v>0</v>
      </c>
      <c r="D23" s="203">
        <v>0</v>
      </c>
      <c r="E23" s="194"/>
      <c r="F23" s="195"/>
      <c r="G23" s="171"/>
      <c r="H23" s="151"/>
      <c r="I23" s="22" t="s">
        <v>492</v>
      </c>
      <c r="J23" s="23">
        <v>6210</v>
      </c>
      <c r="K23" s="12"/>
      <c r="L23" s="280"/>
      <c r="M23" s="352"/>
      <c r="N23" s="386" t="s">
        <v>575</v>
      </c>
      <c r="O23" s="387">
        <v>12510</v>
      </c>
      <c r="P23" s="388"/>
      <c r="Q23" s="358"/>
      <c r="R23" s="286"/>
      <c r="S23" s="359"/>
      <c r="T23" s="26"/>
    </row>
    <row r="24" spans="1:20" ht="24.75" customHeight="1" x14ac:dyDescent="0.35">
      <c r="A24" s="205" t="s">
        <v>316</v>
      </c>
      <c r="B24" s="181" t="s">
        <v>3</v>
      </c>
      <c r="C24" s="189">
        <f>D24-G24</f>
        <v>0</v>
      </c>
      <c r="D24" s="203">
        <f>ROUND(L15/1000,0)</f>
        <v>0</v>
      </c>
      <c r="E24" s="194"/>
      <c r="F24" s="195"/>
      <c r="G24" s="171"/>
      <c r="H24" s="151"/>
      <c r="I24" s="15" t="s">
        <v>306</v>
      </c>
      <c r="J24" s="18"/>
      <c r="K24" s="12"/>
      <c r="L24" s="280"/>
      <c r="M24" s="352"/>
      <c r="N24" s="386" t="s">
        <v>572</v>
      </c>
      <c r="O24" s="387">
        <v>47895.88</v>
      </c>
      <c r="P24" s="388"/>
      <c r="Q24" s="358"/>
      <c r="R24" s="286"/>
      <c r="S24" s="359"/>
      <c r="T24" s="26"/>
    </row>
    <row r="25" spans="1:20" ht="24.75" customHeight="1" x14ac:dyDescent="0.35">
      <c r="A25" s="205" t="s">
        <v>317</v>
      </c>
      <c r="B25" s="181" t="s">
        <v>4</v>
      </c>
      <c r="C25" s="189">
        <v>0</v>
      </c>
      <c r="D25" s="203">
        <v>0</v>
      </c>
      <c r="E25" s="194"/>
      <c r="F25" s="195"/>
      <c r="G25" s="171"/>
      <c r="H25" s="151"/>
      <c r="I25" s="15" t="s">
        <v>564</v>
      </c>
      <c r="J25" s="23">
        <v>6250</v>
      </c>
      <c r="K25" s="12"/>
      <c r="L25" s="280">
        <f>P20</f>
        <v>6180</v>
      </c>
      <c r="M25" s="351">
        <f>L25-K36</f>
        <v>0</v>
      </c>
      <c r="N25" s="385" t="s">
        <v>296</v>
      </c>
      <c r="O25" s="389">
        <v>325485.58</v>
      </c>
      <c r="P25" s="389">
        <v>325485.58</v>
      </c>
      <c r="Q25" s="358"/>
      <c r="R25" s="286"/>
      <c r="S25" s="359"/>
      <c r="T25" s="26"/>
    </row>
    <row r="26" spans="1:20" ht="24.75" customHeight="1" x14ac:dyDescent="0.35">
      <c r="A26" s="206" t="s">
        <v>174</v>
      </c>
      <c r="B26" s="181" t="s">
        <v>87</v>
      </c>
      <c r="C26" s="182">
        <f>C28+C32+C33+C34+C35+C36+C37+C38+C39</f>
        <v>0</v>
      </c>
      <c r="D26" s="207">
        <f>D28+D32+D33+D34+D35+D36+D37+D38+D39</f>
        <v>0</v>
      </c>
      <c r="E26" s="207"/>
      <c r="F26" s="207"/>
      <c r="G26" s="171"/>
      <c r="H26" s="151"/>
      <c r="I26" s="15" t="s">
        <v>356</v>
      </c>
      <c r="J26" s="18" t="s">
        <v>510</v>
      </c>
      <c r="K26" s="12"/>
      <c r="L26" s="280"/>
      <c r="M26" s="352"/>
      <c r="N26" s="377"/>
      <c r="O26" s="379"/>
      <c r="P26" s="378"/>
      <c r="Q26" s="358"/>
      <c r="R26" s="286"/>
      <c r="S26" s="359"/>
      <c r="T26" s="26"/>
    </row>
    <row r="27" spans="1:20" ht="24.75" customHeight="1" x14ac:dyDescent="0.35">
      <c r="A27" s="183" t="s">
        <v>52</v>
      </c>
      <c r="B27" s="181" t="s">
        <v>67</v>
      </c>
      <c r="C27" s="184" t="s">
        <v>67</v>
      </c>
      <c r="D27" s="197" t="s">
        <v>67</v>
      </c>
      <c r="E27" s="198"/>
      <c r="F27" s="199"/>
      <c r="G27" s="171"/>
      <c r="H27" s="151"/>
      <c r="I27" s="15" t="s">
        <v>565</v>
      </c>
      <c r="J27" s="18" t="s">
        <v>299</v>
      </c>
      <c r="K27" s="12"/>
      <c r="L27" s="20">
        <f>P30</f>
        <v>0</v>
      </c>
      <c r="M27" s="351">
        <f>L27-K43</f>
        <v>0</v>
      </c>
      <c r="N27" s="377"/>
      <c r="O27" s="379"/>
      <c r="P27" s="378"/>
      <c r="Q27" s="358"/>
      <c r="R27" s="286"/>
      <c r="S27" s="359"/>
      <c r="T27" s="26"/>
    </row>
    <row r="28" spans="1:20" ht="24.75" customHeight="1" x14ac:dyDescent="0.35">
      <c r="A28" s="188" t="s">
        <v>175</v>
      </c>
      <c r="B28" s="181" t="s">
        <v>60</v>
      </c>
      <c r="C28" s="189">
        <f>D28-G28</f>
        <v>0</v>
      </c>
      <c r="D28" s="193">
        <f>D30+D31</f>
        <v>0</v>
      </c>
      <c r="E28" s="193"/>
      <c r="F28" s="193"/>
      <c r="G28" s="171"/>
      <c r="H28" s="151"/>
      <c r="I28" s="15" t="s">
        <v>472</v>
      </c>
      <c r="J28" s="23">
        <v>6290</v>
      </c>
      <c r="K28" s="12"/>
      <c r="L28" s="280"/>
      <c r="N28" s="377"/>
      <c r="O28" s="379"/>
      <c r="P28" s="378"/>
      <c r="Q28" s="358"/>
      <c r="R28" s="286"/>
      <c r="S28" s="359"/>
      <c r="T28" s="26"/>
    </row>
    <row r="29" spans="1:20" ht="24.75" customHeight="1" x14ac:dyDescent="0.35">
      <c r="A29" s="208" t="s">
        <v>52</v>
      </c>
      <c r="B29" s="209" t="s">
        <v>67</v>
      </c>
      <c r="C29" s="189"/>
      <c r="D29" s="210" t="s">
        <v>67</v>
      </c>
      <c r="E29" s="194"/>
      <c r="F29" s="199"/>
      <c r="G29" s="171"/>
      <c r="H29" s="151"/>
      <c r="I29" s="15" t="s">
        <v>491</v>
      </c>
      <c r="J29" s="11">
        <v>7110</v>
      </c>
      <c r="K29" s="280"/>
      <c r="L29" s="280"/>
      <c r="N29" s="377"/>
      <c r="O29" s="379"/>
      <c r="P29" s="378"/>
      <c r="Q29" s="358"/>
      <c r="R29" s="286"/>
      <c r="S29" s="359"/>
      <c r="T29" s="26"/>
    </row>
    <row r="30" spans="1:20" ht="24.75" customHeight="1" x14ac:dyDescent="0.35">
      <c r="A30" s="205" t="s">
        <v>176</v>
      </c>
      <c r="B30" s="211" t="s">
        <v>177</v>
      </c>
      <c r="C30" s="189">
        <f>D30-G30</f>
        <v>0</v>
      </c>
      <c r="D30" s="212">
        <v>0</v>
      </c>
      <c r="E30" s="194"/>
      <c r="F30" s="195"/>
      <c r="G30" s="171"/>
      <c r="H30" s="151"/>
      <c r="I30" s="15" t="s">
        <v>323</v>
      </c>
      <c r="J30" s="11">
        <v>7210</v>
      </c>
      <c r="K30" s="26">
        <f>O21</f>
        <v>97011.34</v>
      </c>
      <c r="L30" s="12"/>
      <c r="N30" s="377"/>
      <c r="O30" s="379"/>
      <c r="P30" s="378"/>
      <c r="Q30" s="358"/>
      <c r="R30" s="286"/>
      <c r="S30" s="359"/>
      <c r="T30" s="26"/>
    </row>
    <row r="31" spans="1:20" ht="24.75" customHeight="1" x14ac:dyDescent="0.35">
      <c r="A31" s="205" t="s">
        <v>178</v>
      </c>
      <c r="B31" s="211" t="s">
        <v>179</v>
      </c>
      <c r="C31" s="189">
        <f>D31-G31</f>
        <v>0</v>
      </c>
      <c r="D31" s="212">
        <f>ROUND(L12/1000,0)</f>
        <v>0</v>
      </c>
      <c r="E31" s="194"/>
      <c r="F31" s="195"/>
      <c r="G31" s="171"/>
      <c r="H31" s="151"/>
      <c r="I31" s="15" t="s">
        <v>324</v>
      </c>
      <c r="J31" s="18" t="s">
        <v>478</v>
      </c>
      <c r="K31" s="280"/>
      <c r="L31" s="12"/>
      <c r="N31" s="377"/>
      <c r="O31" s="378"/>
      <c r="P31" s="379"/>
      <c r="Q31" s="358"/>
      <c r="R31" s="286"/>
      <c r="S31" s="26"/>
      <c r="T31" s="359"/>
    </row>
    <row r="32" spans="1:20" ht="24.75" customHeight="1" x14ac:dyDescent="0.35">
      <c r="A32" s="188" t="s">
        <v>180</v>
      </c>
      <c r="B32" s="211" t="s">
        <v>61</v>
      </c>
      <c r="C32" s="189">
        <f>D32-G32</f>
        <v>0</v>
      </c>
      <c r="D32" s="212">
        <f>ROUND(L18/1000,0)*0</f>
        <v>0</v>
      </c>
      <c r="E32" s="194"/>
      <c r="F32" s="195"/>
      <c r="G32" s="171"/>
      <c r="H32" s="151"/>
      <c r="I32" s="15" t="s">
        <v>473</v>
      </c>
      <c r="J32" s="18" t="s">
        <v>471</v>
      </c>
      <c r="K32" s="280"/>
      <c r="L32" s="12"/>
      <c r="N32" s="377"/>
      <c r="O32" s="378"/>
      <c r="P32" s="379"/>
      <c r="Q32" s="358"/>
      <c r="R32" s="286"/>
      <c r="S32" s="26"/>
      <c r="T32" s="359"/>
    </row>
    <row r="33" spans="1:20" ht="24.75" customHeight="1" x14ac:dyDescent="0.35">
      <c r="A33" s="188" t="s">
        <v>181</v>
      </c>
      <c r="B33" s="211" t="s">
        <v>182</v>
      </c>
      <c r="C33" s="189">
        <f>D33-G33</f>
        <v>0</v>
      </c>
      <c r="D33" s="212"/>
      <c r="E33" s="194"/>
      <c r="F33" s="195"/>
      <c r="G33" s="171"/>
      <c r="H33" s="151"/>
      <c r="I33" s="15" t="s">
        <v>566</v>
      </c>
      <c r="J33" s="18" t="s">
        <v>562</v>
      </c>
      <c r="K33" s="283"/>
      <c r="L33" s="281"/>
      <c r="N33" s="377"/>
      <c r="O33" s="378"/>
      <c r="P33" s="379"/>
      <c r="Q33" s="358"/>
      <c r="R33" s="286"/>
      <c r="S33" s="26"/>
      <c r="T33" s="359"/>
    </row>
    <row r="34" spans="1:20" ht="24.75" customHeight="1" x14ac:dyDescent="0.35">
      <c r="A34" s="188" t="s">
        <v>183</v>
      </c>
      <c r="B34" s="211" t="s">
        <v>184</v>
      </c>
      <c r="C34" s="189">
        <f t="shared" ref="C34:C43" si="0">D34-G34</f>
        <v>0</v>
      </c>
      <c r="D34" s="231">
        <f>ROUND(L16/1000,0)</f>
        <v>0</v>
      </c>
      <c r="E34" s="194"/>
      <c r="F34" s="195"/>
      <c r="G34" s="171"/>
      <c r="H34" s="151"/>
      <c r="I34" s="15" t="s">
        <v>490</v>
      </c>
      <c r="J34" s="18" t="s">
        <v>489</v>
      </c>
      <c r="K34" s="20"/>
      <c r="L34" s="12"/>
      <c r="N34" s="377"/>
      <c r="O34" s="378"/>
      <c r="P34" s="379"/>
      <c r="Q34" s="358"/>
      <c r="R34" s="286"/>
      <c r="S34" s="26"/>
      <c r="T34" s="359"/>
    </row>
    <row r="35" spans="1:20" ht="24.75" customHeight="1" x14ac:dyDescent="0.35">
      <c r="A35" s="188" t="s">
        <v>185</v>
      </c>
      <c r="B35" s="211" t="s">
        <v>186</v>
      </c>
      <c r="C35" s="189">
        <f t="shared" si="0"/>
        <v>0</v>
      </c>
      <c r="D35" s="212">
        <f>ROUND(L19/1000,0)</f>
        <v>0</v>
      </c>
      <c r="E35" s="194"/>
      <c r="F35" s="195"/>
      <c r="G35" s="171"/>
      <c r="H35" s="151"/>
      <c r="I35" s="15"/>
      <c r="J35" s="11">
        <v>7410</v>
      </c>
      <c r="K35" s="280"/>
      <c r="L35" s="12"/>
      <c r="N35" s="377"/>
      <c r="O35" s="378"/>
      <c r="P35" s="379"/>
      <c r="Q35" s="358"/>
      <c r="R35" s="286"/>
      <c r="S35" s="26"/>
      <c r="T35" s="359"/>
    </row>
    <row r="36" spans="1:20" ht="24.75" customHeight="1" x14ac:dyDescent="0.35">
      <c r="A36" s="188" t="s">
        <v>187</v>
      </c>
      <c r="B36" s="211" t="s">
        <v>188</v>
      </c>
      <c r="C36" s="189">
        <f t="shared" si="0"/>
        <v>0</v>
      </c>
      <c r="D36" s="212">
        <v>0</v>
      </c>
      <c r="E36" s="194"/>
      <c r="F36" s="195"/>
      <c r="G36" s="171"/>
      <c r="H36" s="151"/>
      <c r="I36" s="15" t="s">
        <v>567</v>
      </c>
      <c r="J36" s="11">
        <v>7430</v>
      </c>
      <c r="K36" s="20">
        <f>O22</f>
        <v>6180</v>
      </c>
      <c r="L36" s="12"/>
      <c r="N36" s="377"/>
      <c r="O36" s="378"/>
      <c r="P36" s="379"/>
      <c r="Q36" s="358"/>
      <c r="R36" s="286"/>
      <c r="S36" s="26"/>
      <c r="T36" s="359"/>
    </row>
    <row r="37" spans="1:20" ht="24.75" customHeight="1" x14ac:dyDescent="0.35">
      <c r="A37" s="188" t="s">
        <v>189</v>
      </c>
      <c r="B37" s="211" t="s">
        <v>190</v>
      </c>
      <c r="C37" s="189">
        <f t="shared" si="0"/>
        <v>0</v>
      </c>
      <c r="D37" s="231">
        <f>ROUND(L17/1000,0)</f>
        <v>0</v>
      </c>
      <c r="E37" s="194"/>
      <c r="F37" s="195"/>
      <c r="G37" s="171"/>
      <c r="H37" s="151"/>
      <c r="I37" s="15" t="s">
        <v>325</v>
      </c>
      <c r="J37" s="18" t="s">
        <v>479</v>
      </c>
      <c r="K37" s="280"/>
      <c r="L37" s="12"/>
      <c r="N37" s="377"/>
      <c r="O37" s="378"/>
      <c r="P37" s="379"/>
      <c r="Q37" s="358"/>
      <c r="R37" s="286"/>
      <c r="S37" s="26"/>
      <c r="T37" s="359"/>
    </row>
    <row r="38" spans="1:20" ht="24.75" customHeight="1" x14ac:dyDescent="0.35">
      <c r="A38" s="188" t="s">
        <v>191</v>
      </c>
      <c r="B38" s="211" t="s">
        <v>192</v>
      </c>
      <c r="C38" s="189">
        <f t="shared" si="0"/>
        <v>0</v>
      </c>
      <c r="D38" s="212">
        <v>0</v>
      </c>
      <c r="E38" s="194"/>
      <c r="F38" s="195"/>
      <c r="G38" s="171"/>
      <c r="H38" s="151"/>
      <c r="I38" s="15" t="s">
        <v>326</v>
      </c>
      <c r="J38" s="11">
        <v>7450</v>
      </c>
      <c r="K38" s="282"/>
      <c r="L38" s="12"/>
      <c r="N38" s="377"/>
      <c r="O38" s="378"/>
      <c r="P38" s="379"/>
      <c r="Q38" s="358"/>
      <c r="R38" s="286"/>
      <c r="S38" s="26"/>
      <c r="T38" s="359"/>
    </row>
    <row r="39" spans="1:20" ht="24.75" customHeight="1" x14ac:dyDescent="0.35">
      <c r="A39" s="188" t="s">
        <v>24</v>
      </c>
      <c r="B39" s="211" t="s">
        <v>193</v>
      </c>
      <c r="C39" s="189">
        <f t="shared" si="0"/>
        <v>0</v>
      </c>
      <c r="D39" s="212">
        <v>0</v>
      </c>
      <c r="E39" s="194"/>
      <c r="F39" s="195"/>
      <c r="G39" s="171"/>
      <c r="H39" s="151"/>
      <c r="I39" s="15" t="s">
        <v>470</v>
      </c>
      <c r="J39" s="11" t="s">
        <v>469</v>
      </c>
      <c r="K39" s="280"/>
      <c r="L39" s="12"/>
      <c r="N39" s="377"/>
      <c r="O39" s="378"/>
      <c r="P39" s="379"/>
      <c r="Q39" s="358"/>
      <c r="R39" s="286"/>
      <c r="S39" s="26"/>
      <c r="T39" s="359"/>
    </row>
    <row r="40" spans="1:20" ht="24.75" customHeight="1" x14ac:dyDescent="0.35">
      <c r="A40" s="206" t="s">
        <v>194</v>
      </c>
      <c r="B40" s="211" t="s">
        <v>88</v>
      </c>
      <c r="C40" s="182">
        <f t="shared" si="0"/>
        <v>0</v>
      </c>
      <c r="D40" s="213">
        <f>ROUND(SUM(L22,L27)/1000,0)</f>
        <v>0</v>
      </c>
      <c r="E40" s="214"/>
      <c r="F40" s="215"/>
      <c r="G40" s="171"/>
      <c r="H40" s="151"/>
      <c r="I40" s="15" t="s">
        <v>327</v>
      </c>
      <c r="J40" s="18" t="s">
        <v>292</v>
      </c>
      <c r="K40" s="20"/>
      <c r="L40" s="12"/>
      <c r="N40" s="377"/>
      <c r="O40" s="378"/>
      <c r="P40" s="379"/>
      <c r="Q40" s="358"/>
      <c r="R40" s="286"/>
      <c r="S40" s="26"/>
      <c r="T40" s="359"/>
    </row>
    <row r="41" spans="1:20" ht="52.5" customHeight="1" x14ac:dyDescent="0.35">
      <c r="A41" s="206" t="s">
        <v>195</v>
      </c>
      <c r="B41" s="211" t="s">
        <v>21</v>
      </c>
      <c r="C41" s="182">
        <f>D41-G41</f>
        <v>0</v>
      </c>
      <c r="D41" s="213">
        <f>ROUND((L21)/1000,0)</f>
        <v>0</v>
      </c>
      <c r="E41" s="214"/>
      <c r="F41" s="215"/>
      <c r="G41" s="171"/>
      <c r="H41" s="151"/>
      <c r="I41" s="15" t="s">
        <v>476</v>
      </c>
      <c r="J41" s="18" t="s">
        <v>474</v>
      </c>
      <c r="K41" s="280"/>
      <c r="L41" s="12"/>
      <c r="N41" s="377"/>
      <c r="O41" s="378"/>
      <c r="P41" s="379"/>
      <c r="Q41" s="358"/>
      <c r="R41" s="286"/>
      <c r="S41" s="26"/>
      <c r="T41" s="359"/>
    </row>
    <row r="42" spans="1:20" ht="24.75" customHeight="1" x14ac:dyDescent="0.35">
      <c r="A42" s="206" t="s">
        <v>196</v>
      </c>
      <c r="B42" s="211" t="s">
        <v>90</v>
      </c>
      <c r="C42" s="182">
        <f t="shared" si="0"/>
        <v>0</v>
      </c>
      <c r="D42" s="213">
        <f>ROUND(L28/1000,0)</f>
        <v>0</v>
      </c>
      <c r="E42" s="214"/>
      <c r="F42" s="215"/>
      <c r="G42" s="171"/>
      <c r="H42" s="151"/>
      <c r="I42" s="15" t="s">
        <v>76</v>
      </c>
      <c r="J42" s="18" t="s">
        <v>475</v>
      </c>
      <c r="K42" s="280"/>
      <c r="L42" s="12"/>
      <c r="N42" s="377"/>
      <c r="O42" s="378"/>
      <c r="P42" s="379"/>
      <c r="Q42" s="358"/>
      <c r="R42" s="286"/>
      <c r="S42" s="26"/>
      <c r="T42" s="359"/>
    </row>
    <row r="43" spans="1:20" ht="24.75" customHeight="1" x14ac:dyDescent="0.35">
      <c r="A43" s="206" t="s">
        <v>197</v>
      </c>
      <c r="B43" s="211" t="s">
        <v>91</v>
      </c>
      <c r="C43" s="182">
        <f t="shared" si="0"/>
        <v>6</v>
      </c>
      <c r="D43" s="213">
        <f>ROUND(SUM(L25,L26)/1000,0)</f>
        <v>6</v>
      </c>
      <c r="E43" s="214"/>
      <c r="F43" s="215"/>
      <c r="G43" s="171"/>
      <c r="H43" s="151"/>
      <c r="I43" s="15" t="s">
        <v>321</v>
      </c>
      <c r="J43" s="18" t="s">
        <v>300</v>
      </c>
      <c r="K43" s="280"/>
      <c r="L43" s="12"/>
      <c r="N43" s="380" t="s">
        <v>296</v>
      </c>
      <c r="O43" s="381"/>
      <c r="P43" s="381"/>
      <c r="Q43" s="286"/>
      <c r="R43" s="99"/>
      <c r="S43" s="290"/>
      <c r="T43" s="290"/>
    </row>
    <row r="44" spans="1:20" ht="24.75" customHeight="1" x14ac:dyDescent="0.35">
      <c r="A44" s="206" t="s">
        <v>198</v>
      </c>
      <c r="B44" s="211" t="s">
        <v>93</v>
      </c>
      <c r="C44" s="182">
        <v>0</v>
      </c>
      <c r="D44" s="213">
        <v>0</v>
      </c>
      <c r="E44" s="214"/>
      <c r="F44" s="215"/>
      <c r="G44" s="171"/>
      <c r="H44" s="151"/>
      <c r="I44" s="15" t="s">
        <v>322</v>
      </c>
      <c r="J44" s="18" t="s">
        <v>293</v>
      </c>
      <c r="K44" s="20"/>
      <c r="L44" s="12"/>
      <c r="N44" s="16"/>
      <c r="O44" s="16"/>
      <c r="P44" s="16"/>
      <c r="Q44" s="99"/>
      <c r="R44" s="99"/>
      <c r="S44" s="153"/>
      <c r="T44" s="153"/>
    </row>
    <row r="45" spans="1:20" ht="24.75" customHeight="1" x14ac:dyDescent="0.35">
      <c r="A45" s="206" t="s">
        <v>199</v>
      </c>
      <c r="B45" s="211" t="s">
        <v>94</v>
      </c>
      <c r="C45" s="182">
        <f>D45-G45</f>
        <v>0</v>
      </c>
      <c r="D45" s="213">
        <f>ROUND(L23/1000,0)</f>
        <v>0</v>
      </c>
      <c r="E45" s="214"/>
      <c r="F45" s="215"/>
      <c r="G45" s="171"/>
      <c r="H45" s="151"/>
      <c r="I45" s="15" t="s">
        <v>504</v>
      </c>
      <c r="J45" s="18" t="s">
        <v>503</v>
      </c>
      <c r="K45" s="20"/>
      <c r="L45" s="12"/>
      <c r="R45" s="353"/>
      <c r="S45" s="290"/>
      <c r="T45" s="290"/>
    </row>
    <row r="46" spans="1:20" ht="24.75" customHeight="1" x14ac:dyDescent="0.35">
      <c r="A46" s="206" t="s">
        <v>200</v>
      </c>
      <c r="B46" s="211" t="s">
        <v>95</v>
      </c>
      <c r="C46" s="182">
        <v>0</v>
      </c>
      <c r="D46" s="213">
        <v>0</v>
      </c>
      <c r="E46" s="214"/>
      <c r="F46" s="215"/>
      <c r="G46" s="171"/>
      <c r="H46" s="151"/>
      <c r="I46" s="15" t="s">
        <v>320</v>
      </c>
      <c r="J46" s="18" t="s">
        <v>294</v>
      </c>
      <c r="K46" s="20"/>
      <c r="L46" s="12"/>
      <c r="R46" s="356"/>
      <c r="S46" s="354"/>
      <c r="T46" s="355"/>
    </row>
    <row r="47" spans="1:20" ht="24.75" customHeight="1" x14ac:dyDescent="0.35">
      <c r="A47" s="206" t="s">
        <v>201</v>
      </c>
      <c r="B47" s="211" t="s">
        <v>96</v>
      </c>
      <c r="C47" s="182">
        <v>0</v>
      </c>
      <c r="D47" s="213">
        <v>0</v>
      </c>
      <c r="E47" s="214"/>
      <c r="F47" s="215"/>
      <c r="G47" s="171"/>
      <c r="H47" s="151"/>
      <c r="I47" s="15" t="s">
        <v>319</v>
      </c>
      <c r="J47" s="18" t="s">
        <v>295</v>
      </c>
      <c r="K47" s="20"/>
      <c r="L47" s="12"/>
      <c r="S47" s="357"/>
      <c r="T47" s="357"/>
    </row>
    <row r="48" spans="1:20" ht="24.75" customHeight="1" x14ac:dyDescent="0.35">
      <c r="A48" s="183" t="s">
        <v>52</v>
      </c>
      <c r="B48" s="211" t="s">
        <v>67</v>
      </c>
      <c r="C48" s="184" t="s">
        <v>67</v>
      </c>
      <c r="D48" s="216" t="s">
        <v>67</v>
      </c>
      <c r="E48" s="198"/>
      <c r="F48" s="199"/>
      <c r="G48" s="171"/>
      <c r="H48" s="151"/>
      <c r="I48" s="285" t="s">
        <v>76</v>
      </c>
      <c r="J48" s="279">
        <v>7480</v>
      </c>
      <c r="K48" s="20">
        <f>O23</f>
        <v>12510</v>
      </c>
      <c r="L48" s="281"/>
    </row>
    <row r="49" spans="1:12" ht="24.75" customHeight="1" x14ac:dyDescent="0.35">
      <c r="A49" s="188" t="s">
        <v>202</v>
      </c>
      <c r="B49" s="211" t="s">
        <v>203</v>
      </c>
      <c r="C49" s="189">
        <f t="shared" ref="C49:C54" si="1">D49-G49</f>
        <v>0</v>
      </c>
      <c r="D49" s="212">
        <v>0</v>
      </c>
      <c r="E49" s="194"/>
      <c r="F49" s="195"/>
      <c r="G49" s="171"/>
      <c r="H49" s="151"/>
      <c r="I49" s="15" t="s">
        <v>318</v>
      </c>
      <c r="J49" s="11">
        <v>7710</v>
      </c>
      <c r="K49" s="280">
        <f>O24</f>
        <v>47895.88</v>
      </c>
      <c r="L49" s="12"/>
    </row>
    <row r="50" spans="1:12" ht="24.75" customHeight="1" x14ac:dyDescent="0.35">
      <c r="A50" s="188" t="s">
        <v>204</v>
      </c>
      <c r="B50" s="217" t="s">
        <v>205</v>
      </c>
      <c r="C50" s="189">
        <f t="shared" si="1"/>
        <v>0</v>
      </c>
      <c r="D50" s="218">
        <v>0</v>
      </c>
      <c r="E50" s="194"/>
      <c r="F50" s="195"/>
      <c r="G50" s="171"/>
      <c r="H50" s="151"/>
      <c r="I50" s="13"/>
      <c r="J50" s="17" t="s">
        <v>296</v>
      </c>
      <c r="K50" s="14">
        <f>SUM(K12:K49)</f>
        <v>163597.22</v>
      </c>
      <c r="L50" s="14">
        <f>SUM(L11:L49)</f>
        <v>325485.58</v>
      </c>
    </row>
    <row r="51" spans="1:12" ht="24.75" customHeight="1" x14ac:dyDescent="0.35">
      <c r="A51" s="188" t="s">
        <v>206</v>
      </c>
      <c r="B51" s="211" t="s">
        <v>207</v>
      </c>
      <c r="C51" s="189">
        <f t="shared" si="1"/>
        <v>0</v>
      </c>
      <c r="D51" s="212">
        <v>0</v>
      </c>
      <c r="E51" s="194"/>
      <c r="F51" s="195"/>
      <c r="G51" s="171"/>
      <c r="H51" s="151"/>
      <c r="I51" s="13"/>
      <c r="J51" s="17" t="s">
        <v>297</v>
      </c>
      <c r="K51" s="9"/>
      <c r="L51" s="14">
        <f>L50-K50</f>
        <v>161888.36000000002</v>
      </c>
    </row>
    <row r="52" spans="1:12" ht="24.75" customHeight="1" x14ac:dyDescent="0.35">
      <c r="A52" s="188" t="s">
        <v>208</v>
      </c>
      <c r="B52" s="211" t="s">
        <v>209</v>
      </c>
      <c r="C52" s="189">
        <f t="shared" si="1"/>
        <v>0</v>
      </c>
      <c r="D52" s="212">
        <v>0</v>
      </c>
      <c r="E52" s="194"/>
      <c r="F52" s="195"/>
      <c r="G52" s="171"/>
      <c r="H52" s="151"/>
      <c r="I52" s="16"/>
      <c r="J52" s="16"/>
      <c r="K52" s="16"/>
      <c r="L52" s="16"/>
    </row>
    <row r="53" spans="1:12" ht="54" customHeight="1" x14ac:dyDescent="0.35">
      <c r="A53" s="206" t="s">
        <v>210</v>
      </c>
      <c r="B53" s="211" t="s">
        <v>97</v>
      </c>
      <c r="C53" s="182">
        <f t="shared" si="1"/>
        <v>0</v>
      </c>
      <c r="D53" s="213">
        <f>ROUND(SUM(L24)/1000,0)</f>
        <v>0</v>
      </c>
      <c r="E53" s="214"/>
      <c r="F53" s="215"/>
      <c r="G53" s="171"/>
      <c r="H53" s="151"/>
      <c r="K53" s="24">
        <f>K50</f>
        <v>163597.22</v>
      </c>
      <c r="L53" s="24">
        <f>L50</f>
        <v>325485.58</v>
      </c>
    </row>
    <row r="54" spans="1:12" ht="24.75" customHeight="1" x14ac:dyDescent="0.35">
      <c r="A54" s="206" t="s">
        <v>211</v>
      </c>
      <c r="B54" s="211" t="s">
        <v>98</v>
      </c>
      <c r="C54" s="182">
        <f t="shared" si="1"/>
        <v>0</v>
      </c>
      <c r="D54" s="219"/>
      <c r="E54" s="220"/>
      <c r="F54" s="221"/>
      <c r="G54" s="171"/>
      <c r="H54" s="151"/>
      <c r="K54" s="24">
        <f>K53/1000-D100-D104</f>
        <v>-0.40278000000000702</v>
      </c>
      <c r="L54" s="284">
        <f>L53/1000-D55</f>
        <v>-0.51441999999997279</v>
      </c>
    </row>
    <row r="55" spans="1:12" ht="24.75" customHeight="1" x14ac:dyDescent="0.35">
      <c r="A55" s="222" t="s">
        <v>212</v>
      </c>
      <c r="B55" s="223" t="s">
        <v>64</v>
      </c>
      <c r="C55" s="224">
        <f>C8+C26+C40+C41+C42+C43+C44+C45+C46+C47+C53+C54</f>
        <v>326</v>
      </c>
      <c r="D55" s="224">
        <f>D8+D26+D40+D41+D42+D43+D44+D45+D46+D47+D53+D54</f>
        <v>326</v>
      </c>
      <c r="E55" s="224"/>
      <c r="F55" s="224"/>
      <c r="G55" s="171"/>
      <c r="H55" s="151"/>
    </row>
    <row r="56" spans="1:12" ht="24.75" customHeight="1" x14ac:dyDescent="0.35">
      <c r="A56" s="206" t="s">
        <v>213</v>
      </c>
      <c r="B56" s="211" t="s">
        <v>66</v>
      </c>
      <c r="C56" s="182">
        <f>SUM(C58:C61)</f>
        <v>0</v>
      </c>
      <c r="D56" s="182">
        <f>SUM(D58:D61)</f>
        <v>0</v>
      </c>
      <c r="E56" s="182"/>
      <c r="F56" s="182"/>
      <c r="G56" s="171"/>
      <c r="H56" s="151"/>
    </row>
    <row r="57" spans="1:12" ht="24.75" customHeight="1" x14ac:dyDescent="0.35">
      <c r="A57" s="183" t="s">
        <v>173</v>
      </c>
      <c r="B57" s="211" t="s">
        <v>67</v>
      </c>
      <c r="C57" s="184" t="s">
        <v>67</v>
      </c>
      <c r="D57" s="216" t="s">
        <v>67</v>
      </c>
      <c r="E57" s="198"/>
      <c r="F57" s="199"/>
      <c r="G57" s="171"/>
      <c r="H57" s="151"/>
    </row>
    <row r="58" spans="1:12" ht="24.75" customHeight="1" x14ac:dyDescent="0.35">
      <c r="A58" s="188" t="s">
        <v>214</v>
      </c>
      <c r="B58" s="211" t="s">
        <v>69</v>
      </c>
      <c r="C58" s="189">
        <v>0</v>
      </c>
      <c r="D58" s="212">
        <v>0</v>
      </c>
      <c r="E58" s="194"/>
      <c r="F58" s="195"/>
      <c r="G58" s="171"/>
      <c r="H58" s="151"/>
    </row>
    <row r="59" spans="1:12" ht="24.75" customHeight="1" x14ac:dyDescent="0.35">
      <c r="A59" s="188" t="s">
        <v>62</v>
      </c>
      <c r="B59" s="211" t="s">
        <v>71</v>
      </c>
      <c r="C59" s="189">
        <v>0</v>
      </c>
      <c r="D59" s="212">
        <v>0</v>
      </c>
      <c r="E59" s="194"/>
      <c r="F59" s="195"/>
      <c r="G59" s="171"/>
      <c r="H59" s="151"/>
    </row>
    <row r="60" spans="1:12" ht="24.75" customHeight="1" x14ac:dyDescent="0.35">
      <c r="A60" s="188" t="s">
        <v>63</v>
      </c>
      <c r="B60" s="211" t="s">
        <v>72</v>
      </c>
      <c r="C60" s="189">
        <f>D60-G60</f>
        <v>0</v>
      </c>
      <c r="D60" s="212">
        <f>ROUND(K34/1000,0)</f>
        <v>0</v>
      </c>
      <c r="E60" s="194"/>
      <c r="F60" s="195"/>
      <c r="G60" s="171"/>
      <c r="H60" s="151"/>
    </row>
    <row r="61" spans="1:12" ht="24.75" customHeight="1" x14ac:dyDescent="0.35">
      <c r="A61" s="188" t="s">
        <v>215</v>
      </c>
      <c r="B61" s="211" t="s">
        <v>73</v>
      </c>
      <c r="C61" s="189">
        <v>0</v>
      </c>
      <c r="D61" s="212">
        <v>0</v>
      </c>
      <c r="E61" s="194"/>
      <c r="F61" s="195"/>
      <c r="G61" s="171"/>
      <c r="H61" s="151"/>
    </row>
    <row r="62" spans="1:12" ht="24.75" customHeight="1" x14ac:dyDescent="0.35">
      <c r="A62" s="206" t="s">
        <v>216</v>
      </c>
      <c r="B62" s="211" t="s">
        <v>75</v>
      </c>
      <c r="C62" s="182">
        <f>SUM(C64:C69)</f>
        <v>0</v>
      </c>
      <c r="D62" s="207">
        <f>SUM(D64:D69)</f>
        <v>0</v>
      </c>
      <c r="E62" s="207"/>
      <c r="F62" s="207"/>
      <c r="G62" s="171"/>
      <c r="H62" s="151"/>
    </row>
    <row r="63" spans="1:12" ht="24.75" customHeight="1" x14ac:dyDescent="0.35">
      <c r="A63" s="183" t="s">
        <v>52</v>
      </c>
      <c r="B63" s="211" t="s">
        <v>67</v>
      </c>
      <c r="C63" s="184" t="s">
        <v>67</v>
      </c>
      <c r="D63" s="216"/>
      <c r="E63" s="198"/>
      <c r="F63" s="199"/>
      <c r="G63" s="171"/>
      <c r="H63" s="151"/>
    </row>
    <row r="64" spans="1:12" ht="24.75" customHeight="1" x14ac:dyDescent="0.35">
      <c r="A64" s="188" t="s">
        <v>217</v>
      </c>
      <c r="B64" s="211" t="s">
        <v>101</v>
      </c>
      <c r="C64" s="189">
        <v>0</v>
      </c>
      <c r="D64" s="212">
        <v>0</v>
      </c>
      <c r="E64" s="212"/>
      <c r="F64" s="195"/>
      <c r="G64" s="171"/>
      <c r="H64" s="151"/>
    </row>
    <row r="65" spans="1:8" ht="24.75" customHeight="1" x14ac:dyDescent="0.35">
      <c r="A65" s="188" t="s">
        <v>218</v>
      </c>
      <c r="B65" s="211" t="s">
        <v>105</v>
      </c>
      <c r="C65" s="189">
        <f>D65-G65</f>
        <v>0</v>
      </c>
      <c r="D65" s="212">
        <f>ROUND(K46/1000,0)</f>
        <v>0</v>
      </c>
      <c r="E65" s="212"/>
      <c r="F65" s="195"/>
      <c r="G65" s="171"/>
      <c r="H65" s="151"/>
    </row>
    <row r="66" spans="1:8" ht="24.75" customHeight="1" x14ac:dyDescent="0.35">
      <c r="A66" s="188" t="s">
        <v>219</v>
      </c>
      <c r="B66" s="211" t="s">
        <v>107</v>
      </c>
      <c r="C66" s="189">
        <f>D66-G66</f>
        <v>0</v>
      </c>
      <c r="D66" s="212">
        <f>ROUND((K29+K44)/1000,0)</f>
        <v>0</v>
      </c>
      <c r="E66" s="194"/>
      <c r="F66" s="195"/>
      <c r="G66" s="171"/>
      <c r="H66" s="151"/>
    </row>
    <row r="67" spans="1:8" ht="24.75" customHeight="1" x14ac:dyDescent="0.35">
      <c r="A67" s="188" t="s">
        <v>437</v>
      </c>
      <c r="B67" s="211" t="s">
        <v>109</v>
      </c>
      <c r="C67" s="189">
        <f>D67-G67</f>
        <v>0</v>
      </c>
      <c r="D67" s="212">
        <f>ROUND(K47/1000,0)</f>
        <v>0</v>
      </c>
      <c r="E67" s="194"/>
      <c r="F67" s="195"/>
      <c r="G67" s="171"/>
      <c r="H67" s="151"/>
    </row>
    <row r="68" spans="1:8" ht="24.75" customHeight="1" x14ac:dyDescent="0.35">
      <c r="A68" s="188" t="s">
        <v>220</v>
      </c>
      <c r="B68" s="211" t="s">
        <v>111</v>
      </c>
      <c r="C68" s="189">
        <f>D68-G68</f>
        <v>0</v>
      </c>
      <c r="D68" s="212">
        <f>ROUND(K45/1000,0)</f>
        <v>0</v>
      </c>
      <c r="E68" s="194"/>
      <c r="F68" s="195"/>
      <c r="G68" s="171"/>
      <c r="H68" s="151"/>
    </row>
    <row r="69" spans="1:8" ht="24.75" customHeight="1" x14ac:dyDescent="0.35">
      <c r="A69" s="188" t="s">
        <v>221</v>
      </c>
      <c r="B69" s="211" t="s">
        <v>113</v>
      </c>
      <c r="C69" s="189">
        <f>D69-G69</f>
        <v>0</v>
      </c>
      <c r="D69" s="212">
        <v>0</v>
      </c>
      <c r="E69" s="212"/>
      <c r="F69" s="195"/>
      <c r="G69" s="171"/>
      <c r="H69" s="151"/>
    </row>
    <row r="70" spans="1:8" ht="24.75" customHeight="1" x14ac:dyDescent="0.35">
      <c r="A70" s="206" t="s">
        <v>222</v>
      </c>
      <c r="B70" s="211" t="s">
        <v>77</v>
      </c>
      <c r="C70" s="225">
        <v>0</v>
      </c>
      <c r="D70" s="226">
        <v>0</v>
      </c>
      <c r="E70" s="226"/>
      <c r="F70" s="215"/>
      <c r="G70" s="171"/>
      <c r="H70" s="151"/>
    </row>
    <row r="71" spans="1:8" ht="24.75" customHeight="1" x14ac:dyDescent="0.35">
      <c r="A71" s="183" t="s">
        <v>52</v>
      </c>
      <c r="B71" s="217" t="s">
        <v>67</v>
      </c>
      <c r="C71" s="184" t="s">
        <v>67</v>
      </c>
      <c r="D71" s="216" t="s">
        <v>67</v>
      </c>
      <c r="E71" s="198"/>
      <c r="F71" s="199"/>
      <c r="G71" s="171"/>
      <c r="H71" s="151"/>
    </row>
    <row r="72" spans="1:8" ht="24.75" customHeight="1" x14ac:dyDescent="0.35">
      <c r="A72" s="188" t="s">
        <v>223</v>
      </c>
      <c r="B72" s="211" t="s">
        <v>118</v>
      </c>
      <c r="C72" s="189">
        <f t="shared" ref="C72:C83" si="2">D72-G72</f>
        <v>0</v>
      </c>
      <c r="D72" s="212">
        <v>0</v>
      </c>
      <c r="E72" s="194"/>
      <c r="F72" s="195"/>
      <c r="G72" s="171"/>
      <c r="H72" s="151"/>
    </row>
    <row r="73" spans="1:8" ht="24.75" customHeight="1" x14ac:dyDescent="0.35">
      <c r="A73" s="188" t="s">
        <v>224</v>
      </c>
      <c r="B73" s="211" t="s">
        <v>120</v>
      </c>
      <c r="C73" s="189">
        <f t="shared" si="2"/>
        <v>0</v>
      </c>
      <c r="D73" s="212">
        <v>0</v>
      </c>
      <c r="E73" s="194"/>
      <c r="F73" s="195"/>
      <c r="G73" s="171"/>
      <c r="H73" s="151"/>
    </row>
    <row r="74" spans="1:8" ht="24.75" customHeight="1" x14ac:dyDescent="0.35">
      <c r="A74" s="188" t="s">
        <v>225</v>
      </c>
      <c r="B74" s="211" t="s">
        <v>122</v>
      </c>
      <c r="C74" s="189">
        <f t="shared" si="2"/>
        <v>0</v>
      </c>
      <c r="D74" s="212">
        <v>0</v>
      </c>
      <c r="E74" s="194"/>
      <c r="F74" s="195"/>
      <c r="G74" s="171"/>
      <c r="H74" s="151"/>
    </row>
    <row r="75" spans="1:8" ht="24.75" customHeight="1" x14ac:dyDescent="0.35">
      <c r="A75" s="188" t="s">
        <v>226</v>
      </c>
      <c r="B75" s="211" t="s">
        <v>124</v>
      </c>
      <c r="C75" s="189">
        <f t="shared" si="2"/>
        <v>0</v>
      </c>
      <c r="D75" s="212">
        <v>0</v>
      </c>
      <c r="E75" s="194"/>
      <c r="F75" s="195"/>
      <c r="G75" s="171"/>
      <c r="H75" s="151"/>
    </row>
    <row r="76" spans="1:8" ht="24.75" customHeight="1" x14ac:dyDescent="0.35">
      <c r="A76" s="188" t="s">
        <v>227</v>
      </c>
      <c r="B76" s="211" t="s">
        <v>228</v>
      </c>
      <c r="C76" s="189">
        <f t="shared" si="2"/>
        <v>0</v>
      </c>
      <c r="D76" s="212">
        <v>0</v>
      </c>
      <c r="E76" s="194"/>
      <c r="F76" s="195"/>
      <c r="G76" s="171"/>
      <c r="H76" s="151"/>
    </row>
    <row r="77" spans="1:8" ht="24.75" customHeight="1" x14ac:dyDescent="0.35">
      <c r="A77" s="206" t="s">
        <v>229</v>
      </c>
      <c r="B77" s="211" t="s">
        <v>78</v>
      </c>
      <c r="C77" s="182">
        <f t="shared" si="2"/>
        <v>0</v>
      </c>
      <c r="D77" s="213">
        <f>ROUND((K43+K41)/1000,0)</f>
        <v>0</v>
      </c>
      <c r="E77" s="214"/>
      <c r="F77" s="215"/>
      <c r="G77" s="171"/>
      <c r="H77" s="151"/>
    </row>
    <row r="78" spans="1:8" ht="55.5" customHeight="1" x14ac:dyDescent="0.35">
      <c r="A78" s="206" t="s">
        <v>230</v>
      </c>
      <c r="B78" s="211" t="s">
        <v>79</v>
      </c>
      <c r="C78" s="182">
        <f t="shared" si="2"/>
        <v>0</v>
      </c>
      <c r="D78" s="213">
        <f>ROUND((K40+K33)/1000,0)</f>
        <v>0</v>
      </c>
      <c r="E78" s="214"/>
      <c r="F78" s="215"/>
      <c r="G78" s="171"/>
      <c r="H78" s="151"/>
    </row>
    <row r="79" spans="1:8" ht="24.75" customHeight="1" x14ac:dyDescent="0.35">
      <c r="A79" s="206" t="s">
        <v>231</v>
      </c>
      <c r="B79" s="211" t="s">
        <v>80</v>
      </c>
      <c r="C79" s="182">
        <f t="shared" si="2"/>
        <v>13</v>
      </c>
      <c r="D79" s="213">
        <f>ROUND((K39+K42+K48)/1000,0)</f>
        <v>13</v>
      </c>
      <c r="E79" s="214"/>
      <c r="F79" s="215"/>
      <c r="G79" s="171"/>
      <c r="H79" s="151"/>
    </row>
    <row r="80" spans="1:8" ht="24.75" customHeight="1" x14ac:dyDescent="0.35">
      <c r="A80" s="206" t="s">
        <v>232</v>
      </c>
      <c r="B80" s="211" t="s">
        <v>126</v>
      </c>
      <c r="C80" s="182">
        <f t="shared" si="2"/>
        <v>6</v>
      </c>
      <c r="D80" s="213">
        <f>ROUND(K36/1000,0)</f>
        <v>6</v>
      </c>
      <c r="E80" s="214"/>
      <c r="F80" s="215"/>
      <c r="G80" s="171"/>
      <c r="H80" s="151"/>
    </row>
    <row r="81" spans="1:8" ht="24.75" customHeight="1" x14ac:dyDescent="0.35">
      <c r="A81" s="206" t="s">
        <v>233</v>
      </c>
      <c r="B81" s="211" t="s">
        <v>128</v>
      </c>
      <c r="C81" s="182">
        <f t="shared" si="2"/>
        <v>0</v>
      </c>
      <c r="D81" s="213">
        <v>0</v>
      </c>
      <c r="E81" s="214"/>
      <c r="F81" s="215"/>
      <c r="G81" s="171"/>
      <c r="H81" s="151"/>
    </row>
    <row r="82" spans="1:8" ht="24.75" customHeight="1" x14ac:dyDescent="0.35">
      <c r="A82" s="206" t="s">
        <v>74</v>
      </c>
      <c r="B82" s="211" t="s">
        <v>129</v>
      </c>
      <c r="C82" s="182">
        <f t="shared" si="2"/>
        <v>0</v>
      </c>
      <c r="D82" s="213">
        <f>ROUND(K35/1000,0)</f>
        <v>0</v>
      </c>
      <c r="E82" s="214"/>
      <c r="F82" s="215"/>
      <c r="G82" s="171"/>
      <c r="H82" s="151"/>
    </row>
    <row r="83" spans="1:8" ht="24.75" customHeight="1" x14ac:dyDescent="0.35">
      <c r="A83" s="206" t="s">
        <v>234</v>
      </c>
      <c r="B83" s="211" t="s">
        <v>130</v>
      </c>
      <c r="C83" s="182">
        <f t="shared" si="2"/>
        <v>0</v>
      </c>
      <c r="D83" s="219">
        <v>0</v>
      </c>
      <c r="E83" s="220"/>
      <c r="F83" s="221"/>
      <c r="G83" s="171"/>
      <c r="H83" s="151"/>
    </row>
    <row r="84" spans="1:8" ht="24.75" customHeight="1" x14ac:dyDescent="0.35">
      <c r="A84" s="206" t="s">
        <v>235</v>
      </c>
      <c r="B84" s="211" t="s">
        <v>132</v>
      </c>
      <c r="C84" s="182">
        <v>0</v>
      </c>
      <c r="D84" s="219">
        <v>0</v>
      </c>
      <c r="E84" s="220"/>
      <c r="F84" s="221"/>
      <c r="G84" s="171"/>
      <c r="H84" s="151"/>
    </row>
    <row r="85" spans="1:8" ht="24.75" customHeight="1" x14ac:dyDescent="0.35">
      <c r="A85" s="183" t="s">
        <v>52</v>
      </c>
      <c r="B85" s="211" t="s">
        <v>67</v>
      </c>
      <c r="C85" s="184" t="s">
        <v>67</v>
      </c>
      <c r="D85" s="227" t="s">
        <v>67</v>
      </c>
      <c r="E85" s="186"/>
      <c r="F85" s="187"/>
      <c r="G85" s="171"/>
      <c r="H85" s="151"/>
    </row>
    <row r="86" spans="1:8" ht="24.75" customHeight="1" x14ac:dyDescent="0.35">
      <c r="A86" s="188" t="s">
        <v>236</v>
      </c>
      <c r="B86" s="211" t="s">
        <v>237</v>
      </c>
      <c r="C86" s="189">
        <f>D86-G86</f>
        <v>0</v>
      </c>
      <c r="D86" s="225">
        <v>0</v>
      </c>
      <c r="E86" s="191"/>
      <c r="F86" s="192"/>
      <c r="G86" s="171"/>
      <c r="H86" s="151"/>
    </row>
    <row r="87" spans="1:8" ht="24.75" customHeight="1" x14ac:dyDescent="0.35">
      <c r="A87" s="188" t="s">
        <v>238</v>
      </c>
      <c r="B87" s="211" t="s">
        <v>239</v>
      </c>
      <c r="C87" s="189">
        <f>D87-G87</f>
        <v>0</v>
      </c>
      <c r="D87" s="225">
        <v>0</v>
      </c>
      <c r="E87" s="191"/>
      <c r="F87" s="192"/>
      <c r="G87" s="171"/>
      <c r="H87" s="151"/>
    </row>
    <row r="88" spans="1:8" ht="24.75" customHeight="1" x14ac:dyDescent="0.35">
      <c r="A88" s="188" t="s">
        <v>240</v>
      </c>
      <c r="B88" s="211" t="s">
        <v>241</v>
      </c>
      <c r="C88" s="189">
        <f>D88-G88</f>
        <v>0</v>
      </c>
      <c r="D88" s="212">
        <v>0</v>
      </c>
      <c r="E88" s="194"/>
      <c r="F88" s="195"/>
      <c r="G88" s="171"/>
      <c r="H88" s="151"/>
    </row>
    <row r="89" spans="1:8" ht="24.75" customHeight="1" x14ac:dyDescent="0.35">
      <c r="A89" s="188" t="s">
        <v>242</v>
      </c>
      <c r="B89" s="211" t="s">
        <v>243</v>
      </c>
      <c r="C89" s="189">
        <f>D89-G89</f>
        <v>0</v>
      </c>
      <c r="D89" s="212">
        <v>0</v>
      </c>
      <c r="E89" s="194"/>
      <c r="F89" s="195"/>
      <c r="G89" s="171"/>
      <c r="H89" s="151"/>
    </row>
    <row r="90" spans="1:8" ht="55.5" customHeight="1" x14ac:dyDescent="0.35">
      <c r="A90" s="206" t="s">
        <v>244</v>
      </c>
      <c r="B90" s="211" t="s">
        <v>133</v>
      </c>
      <c r="C90" s="182">
        <f>D90-G90</f>
        <v>0</v>
      </c>
      <c r="D90" s="207">
        <f>ROUND(K37/1000,0)</f>
        <v>0</v>
      </c>
      <c r="E90" s="214"/>
      <c r="F90" s="215"/>
      <c r="G90" s="171"/>
      <c r="H90" s="151"/>
    </row>
    <row r="91" spans="1:8" ht="24.75" customHeight="1" x14ac:dyDescent="0.35">
      <c r="A91" s="206" t="s">
        <v>65</v>
      </c>
      <c r="B91" s="211" t="s">
        <v>134</v>
      </c>
      <c r="C91" s="182">
        <f>SUM(C93:C98)</f>
        <v>97</v>
      </c>
      <c r="D91" s="207">
        <f>SUM(D93:D98)</f>
        <v>97</v>
      </c>
      <c r="E91" s="207"/>
      <c r="F91" s="207"/>
      <c r="G91" s="171"/>
      <c r="H91" s="151"/>
    </row>
    <row r="92" spans="1:8" ht="24.75" customHeight="1" x14ac:dyDescent="0.35">
      <c r="A92" s="183" t="s">
        <v>52</v>
      </c>
      <c r="B92" s="217" t="s">
        <v>67</v>
      </c>
      <c r="C92" s="184" t="s">
        <v>67</v>
      </c>
      <c r="D92" s="228" t="s">
        <v>67</v>
      </c>
      <c r="E92" s="198"/>
      <c r="F92" s="199"/>
      <c r="G92" s="171"/>
      <c r="H92" s="151"/>
    </row>
    <row r="93" spans="1:8" ht="24.75" customHeight="1" x14ac:dyDescent="0.35">
      <c r="A93" s="188" t="s">
        <v>68</v>
      </c>
      <c r="B93" s="211" t="s">
        <v>245</v>
      </c>
      <c r="C93" s="189">
        <f t="shared" ref="C93:C99" si="3">D93-G93</f>
        <v>70</v>
      </c>
      <c r="D93" s="194">
        <v>70</v>
      </c>
      <c r="E93" s="194"/>
      <c r="F93" s="195"/>
      <c r="G93" s="171"/>
      <c r="H93" s="151"/>
    </row>
    <row r="94" spans="1:8" ht="24.75" customHeight="1" x14ac:dyDescent="0.35">
      <c r="A94" s="229" t="s">
        <v>246</v>
      </c>
      <c r="B94" s="230" t="s">
        <v>488</v>
      </c>
      <c r="C94" s="189">
        <f t="shared" si="3"/>
        <v>0</v>
      </c>
      <c r="D94" s="194">
        <v>0</v>
      </c>
      <c r="E94" s="194"/>
      <c r="F94" s="195"/>
      <c r="G94" s="171"/>
      <c r="H94" s="151"/>
    </row>
    <row r="95" spans="1:8" ht="24.75" customHeight="1" x14ac:dyDescent="0.35">
      <c r="A95" s="229" t="s">
        <v>260</v>
      </c>
      <c r="B95" s="230" t="s">
        <v>247</v>
      </c>
      <c r="C95" s="189">
        <f t="shared" si="3"/>
        <v>19</v>
      </c>
      <c r="D95" s="232">
        <f>ROUND((K30+K38)/1000,0)-SUM(D93:D94,D96:D98)-D69</f>
        <v>19</v>
      </c>
      <c r="E95" s="194"/>
      <c r="F95" s="195"/>
      <c r="G95" s="171"/>
      <c r="H95" s="151"/>
    </row>
    <row r="96" spans="1:8" ht="24.75" customHeight="1" x14ac:dyDescent="0.35">
      <c r="A96" s="229" t="s">
        <v>70</v>
      </c>
      <c r="B96" s="230" t="s">
        <v>248</v>
      </c>
      <c r="C96" s="189">
        <f t="shared" si="3"/>
        <v>0</v>
      </c>
      <c r="D96" s="233">
        <v>0</v>
      </c>
      <c r="E96" s="191"/>
      <c r="F96" s="192"/>
      <c r="G96" s="171"/>
      <c r="H96" s="151"/>
    </row>
    <row r="97" spans="1:19" ht="39" customHeight="1" x14ac:dyDescent="0.35">
      <c r="A97" s="229" t="s">
        <v>250</v>
      </c>
      <c r="B97" s="230" t="s">
        <v>249</v>
      </c>
      <c r="C97" s="189">
        <f t="shared" si="3"/>
        <v>8</v>
      </c>
      <c r="D97" s="233">
        <v>8</v>
      </c>
      <c r="E97" s="191"/>
      <c r="F97" s="192"/>
      <c r="G97" s="171"/>
      <c r="H97" s="151"/>
    </row>
    <row r="98" spans="1:19" ht="24.75" customHeight="1" x14ac:dyDescent="0.35">
      <c r="A98" s="229" t="s">
        <v>252</v>
      </c>
      <c r="B98" s="230" t="s">
        <v>251</v>
      </c>
      <c r="C98" s="189">
        <f t="shared" si="3"/>
        <v>0</v>
      </c>
      <c r="D98" s="192">
        <v>0</v>
      </c>
      <c r="E98" s="191"/>
      <c r="F98" s="192"/>
      <c r="G98" s="171"/>
      <c r="H98" s="151"/>
    </row>
    <row r="99" spans="1:19" ht="24.75" customHeight="1" x14ac:dyDescent="0.35">
      <c r="A99" s="234" t="s">
        <v>76</v>
      </c>
      <c r="B99" s="230" t="s">
        <v>136</v>
      </c>
      <c r="C99" s="189">
        <f t="shared" si="3"/>
        <v>0</v>
      </c>
      <c r="D99" s="192">
        <v>0</v>
      </c>
      <c r="E99" s="191"/>
      <c r="F99" s="192"/>
      <c r="G99" s="171"/>
      <c r="H99" s="151"/>
    </row>
    <row r="100" spans="1:19" ht="24.75" customHeight="1" x14ac:dyDescent="0.35">
      <c r="A100" s="235" t="s">
        <v>253</v>
      </c>
      <c r="B100" s="236" t="s">
        <v>137</v>
      </c>
      <c r="C100" s="237">
        <f>C56+C62+C70+C77+C78+C79+C80+C81+C82+C83+C84+C90+C91+C99</f>
        <v>116</v>
      </c>
      <c r="D100" s="237">
        <f>D56+D62+D70+D77+D78+D79+D80+D81+D82+D83+D84+D90+D91+D99</f>
        <v>116</v>
      </c>
      <c r="E100" s="237"/>
      <c r="F100" s="237"/>
      <c r="G100" s="171"/>
      <c r="H100" s="151"/>
    </row>
    <row r="101" spans="1:19" ht="24.75" customHeight="1" x14ac:dyDescent="0.35">
      <c r="A101" s="229" t="s">
        <v>67</v>
      </c>
      <c r="B101" s="230" t="s">
        <v>67</v>
      </c>
      <c r="C101" s="238" t="s">
        <v>67</v>
      </c>
      <c r="D101" s="239" t="s">
        <v>67</v>
      </c>
      <c r="E101" s="239"/>
      <c r="F101" s="239"/>
      <c r="G101" s="171"/>
      <c r="H101" s="151"/>
    </row>
    <row r="102" spans="1:19" ht="36.75" customHeight="1" x14ac:dyDescent="0.35">
      <c r="A102" s="235" t="s">
        <v>254</v>
      </c>
      <c r="B102" s="236" t="s">
        <v>139</v>
      </c>
      <c r="C102" s="237">
        <f>C55-C100</f>
        <v>210</v>
      </c>
      <c r="D102" s="237">
        <f>D55-D100</f>
        <v>210</v>
      </c>
      <c r="E102" s="237"/>
      <c r="F102" s="237"/>
      <c r="G102" s="171"/>
      <c r="H102" s="151"/>
    </row>
    <row r="103" spans="1:19" ht="24.75" customHeight="1" x14ac:dyDescent="0.35">
      <c r="A103" s="229" t="s">
        <v>67</v>
      </c>
      <c r="B103" s="230" t="s">
        <v>67</v>
      </c>
      <c r="C103" s="238" t="s">
        <v>67</v>
      </c>
      <c r="D103" s="239" t="s">
        <v>67</v>
      </c>
      <c r="E103" s="240"/>
      <c r="F103" s="187"/>
      <c r="G103" s="171"/>
      <c r="H103" s="151"/>
    </row>
    <row r="104" spans="1:19" ht="24.75" customHeight="1" x14ac:dyDescent="0.35">
      <c r="A104" s="234" t="s">
        <v>81</v>
      </c>
      <c r="B104" s="230" t="s">
        <v>151</v>
      </c>
      <c r="C104" s="189">
        <f>D104-G104</f>
        <v>48</v>
      </c>
      <c r="D104" s="241">
        <f>ROUND(K49/1000,0)</f>
        <v>48</v>
      </c>
      <c r="E104" s="191"/>
      <c r="F104" s="215"/>
      <c r="G104" s="171"/>
      <c r="H104" s="151"/>
    </row>
    <row r="105" spans="1:19" ht="24.75" customHeight="1" x14ac:dyDescent="0.35">
      <c r="A105" s="242" t="s">
        <v>67</v>
      </c>
      <c r="B105" s="243" t="s">
        <v>67</v>
      </c>
      <c r="C105" s="244" t="s">
        <v>67</v>
      </c>
      <c r="D105" s="245" t="s">
        <v>67</v>
      </c>
      <c r="E105" s="246"/>
      <c r="F105" s="187"/>
      <c r="G105" s="171"/>
      <c r="H105" s="151"/>
    </row>
    <row r="106" spans="1:19" ht="33" customHeight="1" x14ac:dyDescent="0.35">
      <c r="A106" s="247" t="s">
        <v>525</v>
      </c>
      <c r="B106" s="248" t="s">
        <v>526</v>
      </c>
      <c r="C106" s="249">
        <f>C102-C104</f>
        <v>162</v>
      </c>
      <c r="D106" s="249">
        <f>D102-D104</f>
        <v>162</v>
      </c>
      <c r="E106" s="249"/>
      <c r="F106" s="249"/>
      <c r="G106" s="171"/>
      <c r="H106" s="92"/>
      <c r="S106" s="3" t="s">
        <v>67</v>
      </c>
    </row>
    <row r="107" spans="1:19" ht="24.75" customHeight="1" x14ac:dyDescent="0.25">
      <c r="A107" s="250" t="s">
        <v>527</v>
      </c>
      <c r="B107" s="243" t="s">
        <v>41</v>
      </c>
      <c r="C107" s="251">
        <v>0</v>
      </c>
      <c r="D107" s="251">
        <v>0</v>
      </c>
      <c r="E107" s="252"/>
      <c r="F107" s="221"/>
      <c r="G107" s="171"/>
      <c r="H107" s="77"/>
    </row>
    <row r="108" spans="1:19" ht="24.75" customHeight="1" x14ac:dyDescent="0.35">
      <c r="A108" s="242" t="s">
        <v>67</v>
      </c>
      <c r="B108" s="243" t="s">
        <v>67</v>
      </c>
      <c r="C108" s="244" t="s">
        <v>67</v>
      </c>
      <c r="D108" s="244" t="s">
        <v>67</v>
      </c>
      <c r="E108" s="246"/>
      <c r="F108" s="187"/>
      <c r="G108" s="171"/>
      <c r="H108" s="151"/>
    </row>
    <row r="109" spans="1:19" ht="24.75" customHeight="1" x14ac:dyDescent="0.35">
      <c r="A109" s="247" t="s">
        <v>528</v>
      </c>
      <c r="B109" s="248" t="s">
        <v>43</v>
      </c>
      <c r="C109" s="249">
        <f>C106+C107</f>
        <v>162</v>
      </c>
      <c r="D109" s="249">
        <f>D106+D107</f>
        <v>162</v>
      </c>
      <c r="E109" s="249"/>
      <c r="F109" s="249"/>
      <c r="G109" s="171"/>
      <c r="H109" s="151"/>
    </row>
    <row r="110" spans="1:19" ht="24.75" customHeight="1" x14ac:dyDescent="0.35">
      <c r="A110" s="253" t="s">
        <v>529</v>
      </c>
      <c r="B110" s="253"/>
      <c r="C110" s="253"/>
      <c r="D110" s="254">
        <f>'Баланс UDC Astana'!C110-D109</f>
        <v>0</v>
      </c>
      <c r="E110" s="171"/>
      <c r="F110" s="255"/>
      <c r="G110" s="151"/>
      <c r="H110" s="151"/>
    </row>
    <row r="111" spans="1:19" ht="18" x14ac:dyDescent="0.35">
      <c r="A111" s="151" t="s">
        <v>257</v>
      </c>
      <c r="B111" s="256"/>
      <c r="C111" s="256"/>
      <c r="D111" s="257"/>
      <c r="E111" s="151"/>
      <c r="F111" s="258"/>
      <c r="G111" s="171"/>
      <c r="H111" s="151"/>
    </row>
    <row r="112" spans="1:19" ht="18" x14ac:dyDescent="0.35">
      <c r="A112" s="410"/>
      <c r="B112" s="410"/>
      <c r="C112" s="410"/>
      <c r="D112" s="410"/>
      <c r="E112" s="410"/>
      <c r="F112" s="410"/>
      <c r="G112" s="171"/>
      <c r="H112" s="151"/>
    </row>
    <row r="113" spans="1:9" ht="18" x14ac:dyDescent="0.35">
      <c r="A113" s="151"/>
      <c r="B113" s="151"/>
      <c r="C113" s="151"/>
      <c r="D113" s="151"/>
      <c r="E113" s="151"/>
      <c r="F113" s="151"/>
      <c r="G113" s="171"/>
      <c r="H113" s="28"/>
    </row>
    <row r="114" spans="1:9" ht="18" x14ac:dyDescent="0.35">
      <c r="A114" s="411"/>
      <c r="B114" s="412"/>
      <c r="C114" s="412"/>
      <c r="D114" s="412"/>
      <c r="E114" s="259"/>
      <c r="F114" s="151"/>
      <c r="G114" s="171"/>
      <c r="H114" s="28"/>
    </row>
    <row r="115" spans="1:9" ht="18" x14ac:dyDescent="0.35">
      <c r="A115" s="76" t="s">
        <v>430</v>
      </c>
      <c r="B115" s="78" t="s">
        <v>714</v>
      </c>
      <c r="C115" s="79"/>
      <c r="D115" s="80"/>
      <c r="E115" s="80"/>
      <c r="F115" s="91"/>
      <c r="G115" s="92"/>
      <c r="H115" s="28"/>
    </row>
    <row r="116" spans="1:9" ht="18" x14ac:dyDescent="0.35">
      <c r="A116" s="76" t="s">
        <v>431</v>
      </c>
      <c r="B116" s="78" t="s">
        <v>719</v>
      </c>
      <c r="C116" s="79"/>
      <c r="D116" s="80"/>
      <c r="E116" s="80"/>
      <c r="F116" s="91"/>
      <c r="G116" s="92"/>
      <c r="H116" s="28"/>
    </row>
    <row r="117" spans="1:9" ht="18" x14ac:dyDescent="0.35">
      <c r="A117" s="76" t="s">
        <v>432</v>
      </c>
      <c r="B117" s="78" t="s">
        <v>720</v>
      </c>
      <c r="C117" s="79"/>
      <c r="D117" s="80"/>
      <c r="E117" s="80"/>
      <c r="F117" s="91"/>
      <c r="G117" s="92"/>
      <c r="H117" s="151"/>
    </row>
    <row r="118" spans="1:9" ht="18" x14ac:dyDescent="0.35">
      <c r="A118" s="76" t="s">
        <v>433</v>
      </c>
      <c r="B118" s="82"/>
      <c r="C118" s="79"/>
      <c r="D118" s="80"/>
      <c r="E118" s="80"/>
      <c r="F118" s="91"/>
      <c r="G118" s="92"/>
      <c r="H118" s="151"/>
    </row>
    <row r="119" spans="1:9" ht="18" x14ac:dyDescent="0.35">
      <c r="A119" s="83"/>
      <c r="B119" s="77"/>
      <c r="C119" s="77"/>
      <c r="D119" s="77"/>
      <c r="E119" s="77"/>
      <c r="F119" s="77"/>
      <c r="G119" s="77"/>
      <c r="H119" s="151"/>
    </row>
    <row r="120" spans="1:9" ht="18" x14ac:dyDescent="0.35">
      <c r="A120" s="76" t="s">
        <v>256</v>
      </c>
      <c r="B120" s="76" t="s">
        <v>328</v>
      </c>
      <c r="C120" s="76"/>
      <c r="D120" s="84"/>
      <c r="E120" s="84"/>
      <c r="F120" s="85"/>
      <c r="G120" s="76"/>
      <c r="H120" s="151"/>
      <c r="I120" s="2"/>
    </row>
    <row r="121" spans="1:9" ht="18" x14ac:dyDescent="0.35">
      <c r="A121" s="85"/>
      <c r="B121" s="85"/>
      <c r="C121" s="85"/>
      <c r="D121" s="85"/>
      <c r="E121" s="85"/>
      <c r="F121" s="85"/>
      <c r="G121" s="151"/>
      <c r="H121" s="151"/>
      <c r="I121" s="2"/>
    </row>
    <row r="122" spans="1:9" ht="18" x14ac:dyDescent="0.35">
      <c r="A122" s="76" t="s">
        <v>434</v>
      </c>
      <c r="B122" s="76" t="str">
        <f>B120</f>
        <v>Старикова-Тлеухан М.В.</v>
      </c>
      <c r="C122" s="85"/>
      <c r="D122" s="84"/>
      <c r="E122" s="84"/>
      <c r="F122" s="86" t="s">
        <v>721</v>
      </c>
      <c r="G122" s="151"/>
      <c r="H122" s="151"/>
      <c r="I122" s="2"/>
    </row>
    <row r="123" spans="1:9" ht="18" x14ac:dyDescent="0.35">
      <c r="A123" s="87"/>
      <c r="B123" s="76"/>
      <c r="C123" s="76"/>
      <c r="D123" s="85"/>
      <c r="E123" s="85"/>
      <c r="F123" s="76"/>
      <c r="G123" s="151"/>
      <c r="H123" s="151"/>
    </row>
    <row r="124" spans="1:9" ht="18" x14ac:dyDescent="0.35">
      <c r="A124" s="76" t="s">
        <v>435</v>
      </c>
      <c r="B124" s="86" t="s">
        <v>718</v>
      </c>
      <c r="C124" s="85"/>
      <c r="D124" s="84"/>
      <c r="E124" s="84"/>
      <c r="F124" s="86" t="s">
        <v>720</v>
      </c>
      <c r="G124" s="151"/>
      <c r="H124" s="151"/>
    </row>
    <row r="125" spans="1:9" ht="18" x14ac:dyDescent="0.35">
      <c r="A125" s="28"/>
      <c r="B125" s="28"/>
      <c r="C125" s="28"/>
      <c r="D125" s="28"/>
      <c r="E125" s="28"/>
      <c r="F125" s="28"/>
      <c r="G125" s="28"/>
      <c r="H125" s="151"/>
    </row>
    <row r="126" spans="1:9" ht="18" x14ac:dyDescent="0.35">
      <c r="A126" s="88" t="s">
        <v>505</v>
      </c>
      <c r="B126" s="89">
        <f>'Баланс UDC'!B128</f>
        <v>45478</v>
      </c>
      <c r="C126" s="97" t="s">
        <v>9</v>
      </c>
      <c r="D126" s="28"/>
      <c r="E126" s="28"/>
      <c r="F126" s="28"/>
      <c r="G126" s="28"/>
      <c r="H126" s="151"/>
    </row>
    <row r="127" spans="1:9" ht="24.75" customHeight="1" x14ac:dyDescent="0.25">
      <c r="A127" s="1"/>
      <c r="B127" s="1"/>
      <c r="C127" s="2"/>
      <c r="D127" s="2"/>
      <c r="E127" s="2"/>
      <c r="F127" s="2"/>
      <c r="G127" s="2"/>
    </row>
    <row r="128" spans="1:9" ht="24.75" customHeight="1" x14ac:dyDescent="0.25">
      <c r="B128" s="1"/>
      <c r="C128" s="2"/>
      <c r="D128" s="2"/>
      <c r="E128" s="2"/>
      <c r="F128" s="2"/>
      <c r="G128" s="2"/>
    </row>
  </sheetData>
  <mergeCells count="9">
    <mergeCell ref="Q4:Q5"/>
    <mergeCell ref="A112:F112"/>
    <mergeCell ref="A114:D114"/>
    <mergeCell ref="D1:F1"/>
    <mergeCell ref="A2:F2"/>
    <mergeCell ref="N2:O2"/>
    <mergeCell ref="A3:F3"/>
    <mergeCell ref="N4:N5"/>
    <mergeCell ref="P4:P5"/>
  </mergeCells>
  <pageMargins left="0.70866141732283472" right="0.70866141732283472" top="0.39370078740157483" bottom="0.39370078740157483" header="0" footer="0"/>
  <pageSetup scale="59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Q128"/>
  <sheetViews>
    <sheetView tabSelected="1" topLeftCell="A181" zoomScale="80" zoomScaleNormal="80" workbookViewId="0">
      <selection activeCell="L13" sqref="L13"/>
    </sheetView>
  </sheetViews>
  <sheetFormatPr defaultRowHeight="24.75" customHeight="1" x14ac:dyDescent="0.25"/>
  <cols>
    <col min="1" max="1" width="71.5703125" style="3" customWidth="1"/>
    <col min="2" max="2" width="11.28515625" style="3" customWidth="1"/>
    <col min="3" max="5" width="16.140625" style="3" customWidth="1"/>
    <col min="6" max="6" width="16.85546875" style="3" customWidth="1"/>
    <col min="7" max="132" width="9.140625" style="3"/>
    <col min="133" max="133" width="57.85546875" style="3" customWidth="1"/>
    <col min="134" max="134" width="10.85546875" style="3" customWidth="1"/>
    <col min="135" max="135" width="15.28515625" style="3" customWidth="1"/>
    <col min="136" max="136" width="15.42578125" style="3" customWidth="1"/>
    <col min="137" max="137" width="16" style="3" customWidth="1"/>
    <col min="138" max="138" width="21.42578125" style="3" customWidth="1"/>
    <col min="139" max="139" width="11.42578125" style="3" customWidth="1"/>
    <col min="140" max="388" width="9.140625" style="3"/>
    <col min="389" max="389" width="57.85546875" style="3" customWidth="1"/>
    <col min="390" max="390" width="10.85546875" style="3" customWidth="1"/>
    <col min="391" max="391" width="15.28515625" style="3" customWidth="1"/>
    <col min="392" max="392" width="15.42578125" style="3" customWidth="1"/>
    <col min="393" max="393" width="16" style="3" customWidth="1"/>
    <col min="394" max="394" width="21.42578125" style="3" customWidth="1"/>
    <col min="395" max="395" width="11.42578125" style="3" customWidth="1"/>
    <col min="396" max="644" width="9.140625" style="3"/>
    <col min="645" max="645" width="57.85546875" style="3" customWidth="1"/>
    <col min="646" max="646" width="10.85546875" style="3" customWidth="1"/>
    <col min="647" max="647" width="15.28515625" style="3" customWidth="1"/>
    <col min="648" max="648" width="15.42578125" style="3" customWidth="1"/>
    <col min="649" max="649" width="16" style="3" customWidth="1"/>
    <col min="650" max="650" width="21.42578125" style="3" customWidth="1"/>
    <col min="651" max="651" width="11.42578125" style="3" customWidth="1"/>
    <col min="652" max="900" width="9.140625" style="3"/>
    <col min="901" max="901" width="57.85546875" style="3" customWidth="1"/>
    <col min="902" max="902" width="10.85546875" style="3" customWidth="1"/>
    <col min="903" max="903" width="15.28515625" style="3" customWidth="1"/>
    <col min="904" max="904" width="15.42578125" style="3" customWidth="1"/>
    <col min="905" max="905" width="16" style="3" customWidth="1"/>
    <col min="906" max="906" width="21.42578125" style="3" customWidth="1"/>
    <col min="907" max="907" width="11.42578125" style="3" customWidth="1"/>
    <col min="908" max="1156" width="9.140625" style="3"/>
    <col min="1157" max="1157" width="57.85546875" style="3" customWidth="1"/>
    <col min="1158" max="1158" width="10.85546875" style="3" customWidth="1"/>
    <col min="1159" max="1159" width="15.28515625" style="3" customWidth="1"/>
    <col min="1160" max="1160" width="15.42578125" style="3" customWidth="1"/>
    <col min="1161" max="1161" width="16" style="3" customWidth="1"/>
    <col min="1162" max="1162" width="21.42578125" style="3" customWidth="1"/>
    <col min="1163" max="1163" width="11.42578125" style="3" customWidth="1"/>
    <col min="1164" max="1412" width="9.140625" style="3"/>
    <col min="1413" max="1413" width="57.85546875" style="3" customWidth="1"/>
    <col min="1414" max="1414" width="10.85546875" style="3" customWidth="1"/>
    <col min="1415" max="1415" width="15.28515625" style="3" customWidth="1"/>
    <col min="1416" max="1416" width="15.42578125" style="3" customWidth="1"/>
    <col min="1417" max="1417" width="16" style="3" customWidth="1"/>
    <col min="1418" max="1418" width="21.42578125" style="3" customWidth="1"/>
    <col min="1419" max="1419" width="11.42578125" style="3" customWidth="1"/>
    <col min="1420" max="1668" width="9.140625" style="3"/>
    <col min="1669" max="1669" width="57.85546875" style="3" customWidth="1"/>
    <col min="1670" max="1670" width="10.85546875" style="3" customWidth="1"/>
    <col min="1671" max="1671" width="15.28515625" style="3" customWidth="1"/>
    <col min="1672" max="1672" width="15.42578125" style="3" customWidth="1"/>
    <col min="1673" max="1673" width="16" style="3" customWidth="1"/>
    <col min="1674" max="1674" width="21.42578125" style="3" customWidth="1"/>
    <col min="1675" max="1675" width="11.42578125" style="3" customWidth="1"/>
    <col min="1676" max="1924" width="9.140625" style="3"/>
    <col min="1925" max="1925" width="57.85546875" style="3" customWidth="1"/>
    <col min="1926" max="1926" width="10.85546875" style="3" customWidth="1"/>
    <col min="1927" max="1927" width="15.28515625" style="3" customWidth="1"/>
    <col min="1928" max="1928" width="15.42578125" style="3" customWidth="1"/>
    <col min="1929" max="1929" width="16" style="3" customWidth="1"/>
    <col min="1930" max="1930" width="21.42578125" style="3" customWidth="1"/>
    <col min="1931" max="1931" width="11.42578125" style="3" customWidth="1"/>
    <col min="1932" max="2180" width="9.140625" style="3"/>
    <col min="2181" max="2181" width="57.85546875" style="3" customWidth="1"/>
    <col min="2182" max="2182" width="10.85546875" style="3" customWidth="1"/>
    <col min="2183" max="2183" width="15.28515625" style="3" customWidth="1"/>
    <col min="2184" max="2184" width="15.42578125" style="3" customWidth="1"/>
    <col min="2185" max="2185" width="16" style="3" customWidth="1"/>
    <col min="2186" max="2186" width="21.42578125" style="3" customWidth="1"/>
    <col min="2187" max="2187" width="11.42578125" style="3" customWidth="1"/>
    <col min="2188" max="2436" width="9.140625" style="3"/>
    <col min="2437" max="2437" width="57.85546875" style="3" customWidth="1"/>
    <col min="2438" max="2438" width="10.85546875" style="3" customWidth="1"/>
    <col min="2439" max="2439" width="15.28515625" style="3" customWidth="1"/>
    <col min="2440" max="2440" width="15.42578125" style="3" customWidth="1"/>
    <col min="2441" max="2441" width="16" style="3" customWidth="1"/>
    <col min="2442" max="2442" width="21.42578125" style="3" customWidth="1"/>
    <col min="2443" max="2443" width="11.42578125" style="3" customWidth="1"/>
    <col min="2444" max="2692" width="9.140625" style="3"/>
    <col min="2693" max="2693" width="57.85546875" style="3" customWidth="1"/>
    <col min="2694" max="2694" width="10.85546875" style="3" customWidth="1"/>
    <col min="2695" max="2695" width="15.28515625" style="3" customWidth="1"/>
    <col min="2696" max="2696" width="15.42578125" style="3" customWidth="1"/>
    <col min="2697" max="2697" width="16" style="3" customWidth="1"/>
    <col min="2698" max="2698" width="21.42578125" style="3" customWidth="1"/>
    <col min="2699" max="2699" width="11.42578125" style="3" customWidth="1"/>
    <col min="2700" max="2948" width="9.140625" style="3"/>
    <col min="2949" max="2949" width="57.85546875" style="3" customWidth="1"/>
    <col min="2950" max="2950" width="10.85546875" style="3" customWidth="1"/>
    <col min="2951" max="2951" width="15.28515625" style="3" customWidth="1"/>
    <col min="2952" max="2952" width="15.42578125" style="3" customWidth="1"/>
    <col min="2953" max="2953" width="16" style="3" customWidth="1"/>
    <col min="2954" max="2954" width="21.42578125" style="3" customWidth="1"/>
    <col min="2955" max="2955" width="11.42578125" style="3" customWidth="1"/>
    <col min="2956" max="3204" width="9.140625" style="3"/>
    <col min="3205" max="3205" width="57.85546875" style="3" customWidth="1"/>
    <col min="3206" max="3206" width="10.85546875" style="3" customWidth="1"/>
    <col min="3207" max="3207" width="15.28515625" style="3" customWidth="1"/>
    <col min="3208" max="3208" width="15.42578125" style="3" customWidth="1"/>
    <col min="3209" max="3209" width="16" style="3" customWidth="1"/>
    <col min="3210" max="3210" width="21.42578125" style="3" customWidth="1"/>
    <col min="3211" max="3211" width="11.42578125" style="3" customWidth="1"/>
    <col min="3212" max="3460" width="9.140625" style="3"/>
    <col min="3461" max="3461" width="57.85546875" style="3" customWidth="1"/>
    <col min="3462" max="3462" width="10.85546875" style="3" customWidth="1"/>
    <col min="3463" max="3463" width="15.28515625" style="3" customWidth="1"/>
    <col min="3464" max="3464" width="15.42578125" style="3" customWidth="1"/>
    <col min="3465" max="3465" width="16" style="3" customWidth="1"/>
    <col min="3466" max="3466" width="21.42578125" style="3" customWidth="1"/>
    <col min="3467" max="3467" width="11.42578125" style="3" customWidth="1"/>
    <col min="3468" max="3716" width="9.140625" style="3"/>
    <col min="3717" max="3717" width="57.85546875" style="3" customWidth="1"/>
    <col min="3718" max="3718" width="10.85546875" style="3" customWidth="1"/>
    <col min="3719" max="3719" width="15.28515625" style="3" customWidth="1"/>
    <col min="3720" max="3720" width="15.42578125" style="3" customWidth="1"/>
    <col min="3721" max="3721" width="16" style="3" customWidth="1"/>
    <col min="3722" max="3722" width="21.42578125" style="3" customWidth="1"/>
    <col min="3723" max="3723" width="11.42578125" style="3" customWidth="1"/>
    <col min="3724" max="3972" width="9.140625" style="3"/>
    <col min="3973" max="3973" width="57.85546875" style="3" customWidth="1"/>
    <col min="3974" max="3974" width="10.85546875" style="3" customWidth="1"/>
    <col min="3975" max="3975" width="15.28515625" style="3" customWidth="1"/>
    <col min="3976" max="3976" width="15.42578125" style="3" customWidth="1"/>
    <col min="3977" max="3977" width="16" style="3" customWidth="1"/>
    <col min="3978" max="3978" width="21.42578125" style="3" customWidth="1"/>
    <col min="3979" max="3979" width="11.42578125" style="3" customWidth="1"/>
    <col min="3980" max="4228" width="9.140625" style="3"/>
    <col min="4229" max="4229" width="57.85546875" style="3" customWidth="1"/>
    <col min="4230" max="4230" width="10.85546875" style="3" customWidth="1"/>
    <col min="4231" max="4231" width="15.28515625" style="3" customWidth="1"/>
    <col min="4232" max="4232" width="15.42578125" style="3" customWidth="1"/>
    <col min="4233" max="4233" width="16" style="3" customWidth="1"/>
    <col min="4234" max="4234" width="21.42578125" style="3" customWidth="1"/>
    <col min="4235" max="4235" width="11.42578125" style="3" customWidth="1"/>
    <col min="4236" max="4484" width="9.140625" style="3"/>
    <col min="4485" max="4485" width="57.85546875" style="3" customWidth="1"/>
    <col min="4486" max="4486" width="10.85546875" style="3" customWidth="1"/>
    <col min="4487" max="4487" width="15.28515625" style="3" customWidth="1"/>
    <col min="4488" max="4488" width="15.42578125" style="3" customWidth="1"/>
    <col min="4489" max="4489" width="16" style="3" customWidth="1"/>
    <col min="4490" max="4490" width="21.42578125" style="3" customWidth="1"/>
    <col min="4491" max="4491" width="11.42578125" style="3" customWidth="1"/>
    <col min="4492" max="4740" width="9.140625" style="3"/>
    <col min="4741" max="4741" width="57.85546875" style="3" customWidth="1"/>
    <col min="4742" max="4742" width="10.85546875" style="3" customWidth="1"/>
    <col min="4743" max="4743" width="15.28515625" style="3" customWidth="1"/>
    <col min="4744" max="4744" width="15.42578125" style="3" customWidth="1"/>
    <col min="4745" max="4745" width="16" style="3" customWidth="1"/>
    <col min="4746" max="4746" width="21.42578125" style="3" customWidth="1"/>
    <col min="4747" max="4747" width="11.42578125" style="3" customWidth="1"/>
    <col min="4748" max="4996" width="9.140625" style="3"/>
    <col min="4997" max="4997" width="57.85546875" style="3" customWidth="1"/>
    <col min="4998" max="4998" width="10.85546875" style="3" customWidth="1"/>
    <col min="4999" max="4999" width="15.28515625" style="3" customWidth="1"/>
    <col min="5000" max="5000" width="15.42578125" style="3" customWidth="1"/>
    <col min="5001" max="5001" width="16" style="3" customWidth="1"/>
    <col min="5002" max="5002" width="21.42578125" style="3" customWidth="1"/>
    <col min="5003" max="5003" width="11.42578125" style="3" customWidth="1"/>
    <col min="5004" max="5252" width="9.140625" style="3"/>
    <col min="5253" max="5253" width="57.85546875" style="3" customWidth="1"/>
    <col min="5254" max="5254" width="10.85546875" style="3" customWidth="1"/>
    <col min="5255" max="5255" width="15.28515625" style="3" customWidth="1"/>
    <col min="5256" max="5256" width="15.42578125" style="3" customWidth="1"/>
    <col min="5257" max="5257" width="16" style="3" customWidth="1"/>
    <col min="5258" max="5258" width="21.42578125" style="3" customWidth="1"/>
    <col min="5259" max="5259" width="11.42578125" style="3" customWidth="1"/>
    <col min="5260" max="5508" width="9.140625" style="3"/>
    <col min="5509" max="5509" width="57.85546875" style="3" customWidth="1"/>
    <col min="5510" max="5510" width="10.85546875" style="3" customWidth="1"/>
    <col min="5511" max="5511" width="15.28515625" style="3" customWidth="1"/>
    <col min="5512" max="5512" width="15.42578125" style="3" customWidth="1"/>
    <col min="5513" max="5513" width="16" style="3" customWidth="1"/>
    <col min="5514" max="5514" width="21.42578125" style="3" customWidth="1"/>
    <col min="5515" max="5515" width="11.42578125" style="3" customWidth="1"/>
    <col min="5516" max="5764" width="9.140625" style="3"/>
    <col min="5765" max="5765" width="57.85546875" style="3" customWidth="1"/>
    <col min="5766" max="5766" width="10.85546875" style="3" customWidth="1"/>
    <col min="5767" max="5767" width="15.28515625" style="3" customWidth="1"/>
    <col min="5768" max="5768" width="15.42578125" style="3" customWidth="1"/>
    <col min="5769" max="5769" width="16" style="3" customWidth="1"/>
    <col min="5770" max="5770" width="21.42578125" style="3" customWidth="1"/>
    <col min="5771" max="5771" width="11.42578125" style="3" customWidth="1"/>
    <col min="5772" max="6020" width="9.140625" style="3"/>
    <col min="6021" max="6021" width="57.85546875" style="3" customWidth="1"/>
    <col min="6022" max="6022" width="10.85546875" style="3" customWidth="1"/>
    <col min="6023" max="6023" width="15.28515625" style="3" customWidth="1"/>
    <col min="6024" max="6024" width="15.42578125" style="3" customWidth="1"/>
    <col min="6025" max="6025" width="16" style="3" customWidth="1"/>
    <col min="6026" max="6026" width="21.42578125" style="3" customWidth="1"/>
    <col min="6027" max="6027" width="11.42578125" style="3" customWidth="1"/>
    <col min="6028" max="6276" width="9.140625" style="3"/>
    <col min="6277" max="6277" width="57.85546875" style="3" customWidth="1"/>
    <col min="6278" max="6278" width="10.85546875" style="3" customWidth="1"/>
    <col min="6279" max="6279" width="15.28515625" style="3" customWidth="1"/>
    <col min="6280" max="6280" width="15.42578125" style="3" customWidth="1"/>
    <col min="6281" max="6281" width="16" style="3" customWidth="1"/>
    <col min="6282" max="6282" width="21.42578125" style="3" customWidth="1"/>
    <col min="6283" max="6283" width="11.42578125" style="3" customWidth="1"/>
    <col min="6284" max="6532" width="9.140625" style="3"/>
    <col min="6533" max="6533" width="57.85546875" style="3" customWidth="1"/>
    <col min="6534" max="6534" width="10.85546875" style="3" customWidth="1"/>
    <col min="6535" max="6535" width="15.28515625" style="3" customWidth="1"/>
    <col min="6536" max="6536" width="15.42578125" style="3" customWidth="1"/>
    <col min="6537" max="6537" width="16" style="3" customWidth="1"/>
    <col min="6538" max="6538" width="21.42578125" style="3" customWidth="1"/>
    <col min="6539" max="6539" width="11.42578125" style="3" customWidth="1"/>
    <col min="6540" max="6788" width="9.140625" style="3"/>
    <col min="6789" max="6789" width="57.85546875" style="3" customWidth="1"/>
    <col min="6790" max="6790" width="10.85546875" style="3" customWidth="1"/>
    <col min="6791" max="6791" width="15.28515625" style="3" customWidth="1"/>
    <col min="6792" max="6792" width="15.42578125" style="3" customWidth="1"/>
    <col min="6793" max="6793" width="16" style="3" customWidth="1"/>
    <col min="6794" max="6794" width="21.42578125" style="3" customWidth="1"/>
    <col min="6795" max="6795" width="11.42578125" style="3" customWidth="1"/>
    <col min="6796" max="7044" width="9.140625" style="3"/>
    <col min="7045" max="7045" width="57.85546875" style="3" customWidth="1"/>
    <col min="7046" max="7046" width="10.85546875" style="3" customWidth="1"/>
    <col min="7047" max="7047" width="15.28515625" style="3" customWidth="1"/>
    <col min="7048" max="7048" width="15.42578125" style="3" customWidth="1"/>
    <col min="7049" max="7049" width="16" style="3" customWidth="1"/>
    <col min="7050" max="7050" width="21.42578125" style="3" customWidth="1"/>
    <col min="7051" max="7051" width="11.42578125" style="3" customWidth="1"/>
    <col min="7052" max="7300" width="9.140625" style="3"/>
    <col min="7301" max="7301" width="57.85546875" style="3" customWidth="1"/>
    <col min="7302" max="7302" width="10.85546875" style="3" customWidth="1"/>
    <col min="7303" max="7303" width="15.28515625" style="3" customWidth="1"/>
    <col min="7304" max="7304" width="15.42578125" style="3" customWidth="1"/>
    <col min="7305" max="7305" width="16" style="3" customWidth="1"/>
    <col min="7306" max="7306" width="21.42578125" style="3" customWidth="1"/>
    <col min="7307" max="7307" width="11.42578125" style="3" customWidth="1"/>
    <col min="7308" max="7556" width="9.140625" style="3"/>
    <col min="7557" max="7557" width="57.85546875" style="3" customWidth="1"/>
    <col min="7558" max="7558" width="10.85546875" style="3" customWidth="1"/>
    <col min="7559" max="7559" width="15.28515625" style="3" customWidth="1"/>
    <col min="7560" max="7560" width="15.42578125" style="3" customWidth="1"/>
    <col min="7561" max="7561" width="16" style="3" customWidth="1"/>
    <col min="7562" max="7562" width="21.42578125" style="3" customWidth="1"/>
    <col min="7563" max="7563" width="11.42578125" style="3" customWidth="1"/>
    <col min="7564" max="7812" width="9.140625" style="3"/>
    <col min="7813" max="7813" width="57.85546875" style="3" customWidth="1"/>
    <col min="7814" max="7814" width="10.85546875" style="3" customWidth="1"/>
    <col min="7815" max="7815" width="15.28515625" style="3" customWidth="1"/>
    <col min="7816" max="7816" width="15.42578125" style="3" customWidth="1"/>
    <col min="7817" max="7817" width="16" style="3" customWidth="1"/>
    <col min="7818" max="7818" width="21.42578125" style="3" customWidth="1"/>
    <col min="7819" max="7819" width="11.42578125" style="3" customWidth="1"/>
    <col min="7820" max="8068" width="9.140625" style="3"/>
    <col min="8069" max="8069" width="57.85546875" style="3" customWidth="1"/>
    <col min="8070" max="8070" width="10.85546875" style="3" customWidth="1"/>
    <col min="8071" max="8071" width="15.28515625" style="3" customWidth="1"/>
    <col min="8072" max="8072" width="15.42578125" style="3" customWidth="1"/>
    <col min="8073" max="8073" width="16" style="3" customWidth="1"/>
    <col min="8074" max="8074" width="21.42578125" style="3" customWidth="1"/>
    <col min="8075" max="8075" width="11.42578125" style="3" customWidth="1"/>
    <col min="8076" max="8324" width="9.140625" style="3"/>
    <col min="8325" max="8325" width="57.85546875" style="3" customWidth="1"/>
    <col min="8326" max="8326" width="10.85546875" style="3" customWidth="1"/>
    <col min="8327" max="8327" width="15.28515625" style="3" customWidth="1"/>
    <col min="8328" max="8328" width="15.42578125" style="3" customWidth="1"/>
    <col min="8329" max="8329" width="16" style="3" customWidth="1"/>
    <col min="8330" max="8330" width="21.42578125" style="3" customWidth="1"/>
    <col min="8331" max="8331" width="11.42578125" style="3" customWidth="1"/>
    <col min="8332" max="8580" width="9.140625" style="3"/>
    <col min="8581" max="8581" width="57.85546875" style="3" customWidth="1"/>
    <col min="8582" max="8582" width="10.85546875" style="3" customWidth="1"/>
    <col min="8583" max="8583" width="15.28515625" style="3" customWidth="1"/>
    <col min="8584" max="8584" width="15.42578125" style="3" customWidth="1"/>
    <col min="8585" max="8585" width="16" style="3" customWidth="1"/>
    <col min="8586" max="8586" width="21.42578125" style="3" customWidth="1"/>
    <col min="8587" max="8587" width="11.42578125" style="3" customWidth="1"/>
    <col min="8588" max="8836" width="9.140625" style="3"/>
    <col min="8837" max="8837" width="57.85546875" style="3" customWidth="1"/>
    <col min="8838" max="8838" width="10.85546875" style="3" customWidth="1"/>
    <col min="8839" max="8839" width="15.28515625" style="3" customWidth="1"/>
    <col min="8840" max="8840" width="15.42578125" style="3" customWidth="1"/>
    <col min="8841" max="8841" width="16" style="3" customWidth="1"/>
    <col min="8842" max="8842" width="21.42578125" style="3" customWidth="1"/>
    <col min="8843" max="8843" width="11.42578125" style="3" customWidth="1"/>
    <col min="8844" max="9092" width="9.140625" style="3"/>
    <col min="9093" max="9093" width="57.85546875" style="3" customWidth="1"/>
    <col min="9094" max="9094" width="10.85546875" style="3" customWidth="1"/>
    <col min="9095" max="9095" width="15.28515625" style="3" customWidth="1"/>
    <col min="9096" max="9096" width="15.42578125" style="3" customWidth="1"/>
    <col min="9097" max="9097" width="16" style="3" customWidth="1"/>
    <col min="9098" max="9098" width="21.42578125" style="3" customWidth="1"/>
    <col min="9099" max="9099" width="11.42578125" style="3" customWidth="1"/>
    <col min="9100" max="9348" width="9.140625" style="3"/>
    <col min="9349" max="9349" width="57.85546875" style="3" customWidth="1"/>
    <col min="9350" max="9350" width="10.85546875" style="3" customWidth="1"/>
    <col min="9351" max="9351" width="15.28515625" style="3" customWidth="1"/>
    <col min="9352" max="9352" width="15.42578125" style="3" customWidth="1"/>
    <col min="9353" max="9353" width="16" style="3" customWidth="1"/>
    <col min="9354" max="9354" width="21.42578125" style="3" customWidth="1"/>
    <col min="9355" max="9355" width="11.42578125" style="3" customWidth="1"/>
    <col min="9356" max="9604" width="9.140625" style="3"/>
    <col min="9605" max="9605" width="57.85546875" style="3" customWidth="1"/>
    <col min="9606" max="9606" width="10.85546875" style="3" customWidth="1"/>
    <col min="9607" max="9607" width="15.28515625" style="3" customWidth="1"/>
    <col min="9608" max="9608" width="15.42578125" style="3" customWidth="1"/>
    <col min="9609" max="9609" width="16" style="3" customWidth="1"/>
    <col min="9610" max="9610" width="21.42578125" style="3" customWidth="1"/>
    <col min="9611" max="9611" width="11.42578125" style="3" customWidth="1"/>
    <col min="9612" max="9860" width="9.140625" style="3"/>
    <col min="9861" max="9861" width="57.85546875" style="3" customWidth="1"/>
    <col min="9862" max="9862" width="10.85546875" style="3" customWidth="1"/>
    <col min="9863" max="9863" width="15.28515625" style="3" customWidth="1"/>
    <col min="9864" max="9864" width="15.42578125" style="3" customWidth="1"/>
    <col min="9865" max="9865" width="16" style="3" customWidth="1"/>
    <col min="9866" max="9866" width="21.42578125" style="3" customWidth="1"/>
    <col min="9867" max="9867" width="11.42578125" style="3" customWidth="1"/>
    <col min="9868" max="10116" width="9.140625" style="3"/>
    <col min="10117" max="10117" width="57.85546875" style="3" customWidth="1"/>
    <col min="10118" max="10118" width="10.85546875" style="3" customWidth="1"/>
    <col min="10119" max="10119" width="15.28515625" style="3" customWidth="1"/>
    <col min="10120" max="10120" width="15.42578125" style="3" customWidth="1"/>
    <col min="10121" max="10121" width="16" style="3" customWidth="1"/>
    <col min="10122" max="10122" width="21.42578125" style="3" customWidth="1"/>
    <col min="10123" max="10123" width="11.42578125" style="3" customWidth="1"/>
    <col min="10124" max="10372" width="9.140625" style="3"/>
    <col min="10373" max="10373" width="57.85546875" style="3" customWidth="1"/>
    <col min="10374" max="10374" width="10.85546875" style="3" customWidth="1"/>
    <col min="10375" max="10375" width="15.28515625" style="3" customWidth="1"/>
    <col min="10376" max="10376" width="15.42578125" style="3" customWidth="1"/>
    <col min="10377" max="10377" width="16" style="3" customWidth="1"/>
    <col min="10378" max="10378" width="21.42578125" style="3" customWidth="1"/>
    <col min="10379" max="10379" width="11.42578125" style="3" customWidth="1"/>
    <col min="10380" max="10628" width="9.140625" style="3"/>
    <col min="10629" max="10629" width="57.85546875" style="3" customWidth="1"/>
    <col min="10630" max="10630" width="10.85546875" style="3" customWidth="1"/>
    <col min="10631" max="10631" width="15.28515625" style="3" customWidth="1"/>
    <col min="10632" max="10632" width="15.42578125" style="3" customWidth="1"/>
    <col min="10633" max="10633" width="16" style="3" customWidth="1"/>
    <col min="10634" max="10634" width="21.42578125" style="3" customWidth="1"/>
    <col min="10635" max="10635" width="11.42578125" style="3" customWidth="1"/>
    <col min="10636" max="10884" width="9.140625" style="3"/>
    <col min="10885" max="10885" width="57.85546875" style="3" customWidth="1"/>
    <col min="10886" max="10886" width="10.85546875" style="3" customWidth="1"/>
    <col min="10887" max="10887" width="15.28515625" style="3" customWidth="1"/>
    <col min="10888" max="10888" width="15.42578125" style="3" customWidth="1"/>
    <col min="10889" max="10889" width="16" style="3" customWidth="1"/>
    <col min="10890" max="10890" width="21.42578125" style="3" customWidth="1"/>
    <col min="10891" max="10891" width="11.42578125" style="3" customWidth="1"/>
    <col min="10892" max="11140" width="9.140625" style="3"/>
    <col min="11141" max="11141" width="57.85546875" style="3" customWidth="1"/>
    <col min="11142" max="11142" width="10.85546875" style="3" customWidth="1"/>
    <col min="11143" max="11143" width="15.28515625" style="3" customWidth="1"/>
    <col min="11144" max="11144" width="15.42578125" style="3" customWidth="1"/>
    <col min="11145" max="11145" width="16" style="3" customWidth="1"/>
    <col min="11146" max="11146" width="21.42578125" style="3" customWidth="1"/>
    <col min="11147" max="11147" width="11.42578125" style="3" customWidth="1"/>
    <col min="11148" max="11396" width="9.140625" style="3"/>
    <col min="11397" max="11397" width="57.85546875" style="3" customWidth="1"/>
    <col min="11398" max="11398" width="10.85546875" style="3" customWidth="1"/>
    <col min="11399" max="11399" width="15.28515625" style="3" customWidth="1"/>
    <col min="11400" max="11400" width="15.42578125" style="3" customWidth="1"/>
    <col min="11401" max="11401" width="16" style="3" customWidth="1"/>
    <col min="11402" max="11402" width="21.42578125" style="3" customWidth="1"/>
    <col min="11403" max="11403" width="11.42578125" style="3" customWidth="1"/>
    <col min="11404" max="11652" width="9.140625" style="3"/>
    <col min="11653" max="11653" width="57.85546875" style="3" customWidth="1"/>
    <col min="11654" max="11654" width="10.85546875" style="3" customWidth="1"/>
    <col min="11655" max="11655" width="15.28515625" style="3" customWidth="1"/>
    <col min="11656" max="11656" width="15.42578125" style="3" customWidth="1"/>
    <col min="11657" max="11657" width="16" style="3" customWidth="1"/>
    <col min="11658" max="11658" width="21.42578125" style="3" customWidth="1"/>
    <col min="11659" max="11659" width="11.42578125" style="3" customWidth="1"/>
    <col min="11660" max="11908" width="9.140625" style="3"/>
    <col min="11909" max="11909" width="57.85546875" style="3" customWidth="1"/>
    <col min="11910" max="11910" width="10.85546875" style="3" customWidth="1"/>
    <col min="11911" max="11911" width="15.28515625" style="3" customWidth="1"/>
    <col min="11912" max="11912" width="15.42578125" style="3" customWidth="1"/>
    <col min="11913" max="11913" width="16" style="3" customWidth="1"/>
    <col min="11914" max="11914" width="21.42578125" style="3" customWidth="1"/>
    <col min="11915" max="11915" width="11.42578125" style="3" customWidth="1"/>
    <col min="11916" max="12164" width="9.140625" style="3"/>
    <col min="12165" max="12165" width="57.85546875" style="3" customWidth="1"/>
    <col min="12166" max="12166" width="10.85546875" style="3" customWidth="1"/>
    <col min="12167" max="12167" width="15.28515625" style="3" customWidth="1"/>
    <col min="12168" max="12168" width="15.42578125" style="3" customWidth="1"/>
    <col min="12169" max="12169" width="16" style="3" customWidth="1"/>
    <col min="12170" max="12170" width="21.42578125" style="3" customWidth="1"/>
    <col min="12171" max="12171" width="11.42578125" style="3" customWidth="1"/>
    <col min="12172" max="12420" width="9.140625" style="3"/>
    <col min="12421" max="12421" width="57.85546875" style="3" customWidth="1"/>
    <col min="12422" max="12422" width="10.85546875" style="3" customWidth="1"/>
    <col min="12423" max="12423" width="15.28515625" style="3" customWidth="1"/>
    <col min="12424" max="12424" width="15.42578125" style="3" customWidth="1"/>
    <col min="12425" max="12425" width="16" style="3" customWidth="1"/>
    <col min="12426" max="12426" width="21.42578125" style="3" customWidth="1"/>
    <col min="12427" max="12427" width="11.42578125" style="3" customWidth="1"/>
    <col min="12428" max="12676" width="9.140625" style="3"/>
    <col min="12677" max="12677" width="57.85546875" style="3" customWidth="1"/>
    <col min="12678" max="12678" width="10.85546875" style="3" customWidth="1"/>
    <col min="12679" max="12679" width="15.28515625" style="3" customWidth="1"/>
    <col min="12680" max="12680" width="15.42578125" style="3" customWidth="1"/>
    <col min="12681" max="12681" width="16" style="3" customWidth="1"/>
    <col min="12682" max="12682" width="21.42578125" style="3" customWidth="1"/>
    <col min="12683" max="12683" width="11.42578125" style="3" customWidth="1"/>
    <col min="12684" max="12932" width="9.140625" style="3"/>
    <col min="12933" max="12933" width="57.85546875" style="3" customWidth="1"/>
    <col min="12934" max="12934" width="10.85546875" style="3" customWidth="1"/>
    <col min="12935" max="12935" width="15.28515625" style="3" customWidth="1"/>
    <col min="12936" max="12936" width="15.42578125" style="3" customWidth="1"/>
    <col min="12937" max="12937" width="16" style="3" customWidth="1"/>
    <col min="12938" max="12938" width="21.42578125" style="3" customWidth="1"/>
    <col min="12939" max="12939" width="11.42578125" style="3" customWidth="1"/>
    <col min="12940" max="13188" width="9.140625" style="3"/>
    <col min="13189" max="13189" width="57.85546875" style="3" customWidth="1"/>
    <col min="13190" max="13190" width="10.85546875" style="3" customWidth="1"/>
    <col min="13191" max="13191" width="15.28515625" style="3" customWidth="1"/>
    <col min="13192" max="13192" width="15.42578125" style="3" customWidth="1"/>
    <col min="13193" max="13193" width="16" style="3" customWidth="1"/>
    <col min="13194" max="13194" width="21.42578125" style="3" customWidth="1"/>
    <col min="13195" max="13195" width="11.42578125" style="3" customWidth="1"/>
    <col min="13196" max="13444" width="9.140625" style="3"/>
    <col min="13445" max="13445" width="57.85546875" style="3" customWidth="1"/>
    <col min="13446" max="13446" width="10.85546875" style="3" customWidth="1"/>
    <col min="13447" max="13447" width="15.28515625" style="3" customWidth="1"/>
    <col min="13448" max="13448" width="15.42578125" style="3" customWidth="1"/>
    <col min="13449" max="13449" width="16" style="3" customWidth="1"/>
    <col min="13450" max="13450" width="21.42578125" style="3" customWidth="1"/>
    <col min="13451" max="13451" width="11.42578125" style="3" customWidth="1"/>
    <col min="13452" max="13700" width="9.140625" style="3"/>
    <col min="13701" max="13701" width="57.85546875" style="3" customWidth="1"/>
    <col min="13702" max="13702" width="10.85546875" style="3" customWidth="1"/>
    <col min="13703" max="13703" width="15.28515625" style="3" customWidth="1"/>
    <col min="13704" max="13704" width="15.42578125" style="3" customWidth="1"/>
    <col min="13705" max="13705" width="16" style="3" customWidth="1"/>
    <col min="13706" max="13706" width="21.42578125" style="3" customWidth="1"/>
    <col min="13707" max="13707" width="11.42578125" style="3" customWidth="1"/>
    <col min="13708" max="13956" width="9.140625" style="3"/>
    <col min="13957" max="13957" width="57.85546875" style="3" customWidth="1"/>
    <col min="13958" max="13958" width="10.85546875" style="3" customWidth="1"/>
    <col min="13959" max="13959" width="15.28515625" style="3" customWidth="1"/>
    <col min="13960" max="13960" width="15.42578125" style="3" customWidth="1"/>
    <col min="13961" max="13961" width="16" style="3" customWidth="1"/>
    <col min="13962" max="13962" width="21.42578125" style="3" customWidth="1"/>
    <col min="13963" max="13963" width="11.42578125" style="3" customWidth="1"/>
    <col min="13964" max="14212" width="9.140625" style="3"/>
    <col min="14213" max="14213" width="57.85546875" style="3" customWidth="1"/>
    <col min="14214" max="14214" width="10.85546875" style="3" customWidth="1"/>
    <col min="14215" max="14215" width="15.28515625" style="3" customWidth="1"/>
    <col min="14216" max="14216" width="15.42578125" style="3" customWidth="1"/>
    <col min="14217" max="14217" width="16" style="3" customWidth="1"/>
    <col min="14218" max="14218" width="21.42578125" style="3" customWidth="1"/>
    <col min="14219" max="14219" width="11.42578125" style="3" customWidth="1"/>
    <col min="14220" max="14468" width="9.140625" style="3"/>
    <col min="14469" max="14469" width="57.85546875" style="3" customWidth="1"/>
    <col min="14470" max="14470" width="10.85546875" style="3" customWidth="1"/>
    <col min="14471" max="14471" width="15.28515625" style="3" customWidth="1"/>
    <col min="14472" max="14472" width="15.42578125" style="3" customWidth="1"/>
    <col min="14473" max="14473" width="16" style="3" customWidth="1"/>
    <col min="14474" max="14474" width="21.42578125" style="3" customWidth="1"/>
    <col min="14475" max="14475" width="11.42578125" style="3" customWidth="1"/>
    <col min="14476" max="14724" width="9.140625" style="3"/>
    <col min="14725" max="14725" width="57.85546875" style="3" customWidth="1"/>
    <col min="14726" max="14726" width="10.85546875" style="3" customWidth="1"/>
    <col min="14727" max="14727" width="15.28515625" style="3" customWidth="1"/>
    <col min="14728" max="14728" width="15.42578125" style="3" customWidth="1"/>
    <col min="14729" max="14729" width="16" style="3" customWidth="1"/>
    <col min="14730" max="14730" width="21.42578125" style="3" customWidth="1"/>
    <col min="14731" max="14731" width="11.42578125" style="3" customWidth="1"/>
    <col min="14732" max="14980" width="9.140625" style="3"/>
    <col min="14981" max="14981" width="57.85546875" style="3" customWidth="1"/>
    <col min="14982" max="14982" width="10.85546875" style="3" customWidth="1"/>
    <col min="14983" max="14983" width="15.28515625" style="3" customWidth="1"/>
    <col min="14984" max="14984" width="15.42578125" style="3" customWidth="1"/>
    <col min="14985" max="14985" width="16" style="3" customWidth="1"/>
    <col min="14986" max="14986" width="21.42578125" style="3" customWidth="1"/>
    <col min="14987" max="14987" width="11.42578125" style="3" customWidth="1"/>
    <col min="14988" max="15236" width="9.140625" style="3"/>
    <col min="15237" max="15237" width="57.85546875" style="3" customWidth="1"/>
    <col min="15238" max="15238" width="10.85546875" style="3" customWidth="1"/>
    <col min="15239" max="15239" width="15.28515625" style="3" customWidth="1"/>
    <col min="15240" max="15240" width="15.42578125" style="3" customWidth="1"/>
    <col min="15241" max="15241" width="16" style="3" customWidth="1"/>
    <col min="15242" max="15242" width="21.42578125" style="3" customWidth="1"/>
    <col min="15243" max="15243" width="11.42578125" style="3" customWidth="1"/>
    <col min="15244" max="15492" width="9.140625" style="3"/>
    <col min="15493" max="15493" width="57.85546875" style="3" customWidth="1"/>
    <col min="15494" max="15494" width="10.85546875" style="3" customWidth="1"/>
    <col min="15495" max="15495" width="15.28515625" style="3" customWidth="1"/>
    <col min="15496" max="15496" width="15.42578125" style="3" customWidth="1"/>
    <col min="15497" max="15497" width="16" style="3" customWidth="1"/>
    <col min="15498" max="15498" width="21.42578125" style="3" customWidth="1"/>
    <col min="15499" max="15499" width="11.42578125" style="3" customWidth="1"/>
    <col min="15500" max="15748" width="9.140625" style="3"/>
    <col min="15749" max="15749" width="57.85546875" style="3" customWidth="1"/>
    <col min="15750" max="15750" width="10.85546875" style="3" customWidth="1"/>
    <col min="15751" max="15751" width="15.28515625" style="3" customWidth="1"/>
    <col min="15752" max="15752" width="15.42578125" style="3" customWidth="1"/>
    <col min="15753" max="15753" width="16" style="3" customWidth="1"/>
    <col min="15754" max="15754" width="21.42578125" style="3" customWidth="1"/>
    <col min="15755" max="15755" width="11.42578125" style="3" customWidth="1"/>
    <col min="15756" max="16004" width="9.140625" style="3"/>
    <col min="16005" max="16005" width="57.85546875" style="3" customWidth="1"/>
    <col min="16006" max="16006" width="10.85546875" style="3" customWidth="1"/>
    <col min="16007" max="16007" width="15.28515625" style="3" customWidth="1"/>
    <col min="16008" max="16008" width="15.42578125" style="3" customWidth="1"/>
    <col min="16009" max="16009" width="16" style="3" customWidth="1"/>
    <col min="16010" max="16010" width="21.42578125" style="3" customWidth="1"/>
    <col min="16011" max="16011" width="11.42578125" style="3" customWidth="1"/>
    <col min="16012" max="16384" width="9.140625" style="3"/>
  </cols>
  <sheetData>
    <row r="1" spans="1:8" ht="54" customHeight="1" x14ac:dyDescent="0.35">
      <c r="A1" s="151"/>
      <c r="B1" s="151"/>
      <c r="C1" s="151"/>
      <c r="D1" s="413" t="s">
        <v>571</v>
      </c>
      <c r="E1" s="414"/>
      <c r="F1" s="414"/>
    </row>
    <row r="2" spans="1:8" ht="31.5" customHeight="1" x14ac:dyDescent="0.35">
      <c r="A2" s="402" t="s">
        <v>53</v>
      </c>
      <c r="B2" s="402"/>
      <c r="C2" s="402"/>
      <c r="D2" s="402"/>
      <c r="E2" s="402"/>
      <c r="F2" s="402"/>
    </row>
    <row r="3" spans="1:8" ht="24.75" customHeight="1" x14ac:dyDescent="0.35">
      <c r="A3" s="415" t="s">
        <v>493</v>
      </c>
      <c r="B3" s="415"/>
      <c r="C3" s="415"/>
      <c r="D3" s="415"/>
      <c r="E3" s="415"/>
      <c r="F3" s="415"/>
    </row>
    <row r="4" spans="1:8" ht="24.75" customHeight="1" x14ac:dyDescent="0.35">
      <c r="A4" s="172" t="s">
        <v>329</v>
      </c>
      <c r="B4" s="151" t="s">
        <v>725</v>
      </c>
      <c r="C4" s="151"/>
      <c r="D4" s="151"/>
      <c r="E4" s="151"/>
      <c r="F4" s="151"/>
    </row>
    <row r="5" spans="1:8" s="4" customFormat="1" ht="24.75" customHeight="1" x14ac:dyDescent="0.35">
      <c r="A5" s="173"/>
      <c r="B5" s="173"/>
      <c r="C5" s="173"/>
      <c r="D5" s="173"/>
      <c r="E5" s="173"/>
      <c r="F5" s="174" t="s">
        <v>0</v>
      </c>
    </row>
    <row r="6" spans="1:8" ht="144" x14ac:dyDescent="0.25">
      <c r="A6" s="176" t="s">
        <v>15</v>
      </c>
      <c r="B6" s="176" t="s">
        <v>16</v>
      </c>
      <c r="C6" s="176" t="s">
        <v>54</v>
      </c>
      <c r="D6" s="176" t="s">
        <v>55</v>
      </c>
      <c r="E6" s="177" t="s">
        <v>56</v>
      </c>
      <c r="F6" s="176" t="s">
        <v>57</v>
      </c>
    </row>
    <row r="7" spans="1:8" ht="39" customHeight="1" x14ac:dyDescent="0.35">
      <c r="A7" s="178">
        <v>1</v>
      </c>
      <c r="B7" s="178">
        <v>2</v>
      </c>
      <c r="C7" s="178">
        <v>3</v>
      </c>
      <c r="D7" s="178">
        <v>4</v>
      </c>
      <c r="E7" s="179">
        <v>5</v>
      </c>
      <c r="F7" s="178">
        <v>6</v>
      </c>
      <c r="G7" s="393"/>
      <c r="H7" s="392"/>
    </row>
    <row r="8" spans="1:8" ht="24.75" customHeight="1" x14ac:dyDescent="0.25">
      <c r="A8" s="180" t="s">
        <v>172</v>
      </c>
      <c r="B8" s="181" t="s">
        <v>84</v>
      </c>
      <c r="C8" s="182">
        <v>29372</v>
      </c>
      <c r="D8" s="182">
        <v>78507</v>
      </c>
      <c r="E8" s="182">
        <v>58825</v>
      </c>
      <c r="F8" s="182">
        <v>118778</v>
      </c>
      <c r="G8" s="391"/>
      <c r="H8" s="390"/>
    </row>
    <row r="9" spans="1:8" ht="24.75" customHeight="1" x14ac:dyDescent="0.25">
      <c r="A9" s="183" t="s">
        <v>173</v>
      </c>
      <c r="B9" s="181" t="s">
        <v>67</v>
      </c>
      <c r="C9" s="184" t="s">
        <v>67</v>
      </c>
      <c r="D9" s="185" t="s">
        <v>67</v>
      </c>
      <c r="E9" s="186" t="s">
        <v>67</v>
      </c>
      <c r="F9" s="187" t="s">
        <v>67</v>
      </c>
      <c r="G9" s="391"/>
      <c r="H9" s="390"/>
    </row>
    <row r="10" spans="1:8" ht="24.75" customHeight="1" x14ac:dyDescent="0.25">
      <c r="A10" s="188" t="s">
        <v>58</v>
      </c>
      <c r="B10" s="181" t="s">
        <v>1</v>
      </c>
      <c r="C10" s="189">
        <v>0</v>
      </c>
      <c r="D10" s="190">
        <v>0</v>
      </c>
      <c r="E10" s="191">
        <v>0</v>
      </c>
      <c r="F10" s="192">
        <v>0</v>
      </c>
      <c r="G10" s="391"/>
      <c r="H10" s="390"/>
    </row>
    <row r="11" spans="1:8" ht="24.75" customHeight="1" x14ac:dyDescent="0.25">
      <c r="A11" s="188" t="s">
        <v>59</v>
      </c>
      <c r="B11" s="181" t="s">
        <v>2</v>
      </c>
      <c r="C11" s="189">
        <v>16934</v>
      </c>
      <c r="D11" s="193">
        <v>60178</v>
      </c>
      <c r="E11" s="193">
        <v>39737</v>
      </c>
      <c r="F11" s="193">
        <v>71963</v>
      </c>
      <c r="G11" s="391"/>
      <c r="H11" s="390"/>
    </row>
    <row r="12" spans="1:8" ht="24.75" customHeight="1" x14ac:dyDescent="0.25">
      <c r="A12" s="196" t="s">
        <v>173</v>
      </c>
      <c r="B12" s="181" t="s">
        <v>67</v>
      </c>
      <c r="C12" s="184" t="s">
        <v>67</v>
      </c>
      <c r="D12" s="197" t="s">
        <v>67</v>
      </c>
      <c r="E12" s="198">
        <v>0</v>
      </c>
      <c r="F12" s="199"/>
      <c r="G12" s="391"/>
      <c r="H12" s="390"/>
    </row>
    <row r="13" spans="1:8" ht="39.75" customHeight="1" x14ac:dyDescent="0.25">
      <c r="A13" s="200" t="s">
        <v>310</v>
      </c>
      <c r="B13" s="201" t="s">
        <v>480</v>
      </c>
      <c r="C13" s="202">
        <v>1040.33</v>
      </c>
      <c r="D13" s="202">
        <v>4627.33</v>
      </c>
      <c r="E13" s="202">
        <v>0</v>
      </c>
      <c r="F13" s="202">
        <v>0</v>
      </c>
      <c r="G13" s="391"/>
      <c r="H13" s="390"/>
    </row>
    <row r="14" spans="1:8" ht="24.75" customHeight="1" x14ac:dyDescent="0.25">
      <c r="A14" s="196" t="s">
        <v>173</v>
      </c>
      <c r="B14" s="181"/>
      <c r="C14" s="193"/>
      <c r="D14" s="203"/>
      <c r="E14" s="194">
        <v>0</v>
      </c>
      <c r="F14" s="195"/>
      <c r="G14" s="391"/>
      <c r="H14" s="390"/>
    </row>
    <row r="15" spans="1:8" ht="51" customHeight="1" x14ac:dyDescent="0.25">
      <c r="A15" s="204" t="s">
        <v>308</v>
      </c>
      <c r="B15" s="181" t="s">
        <v>481</v>
      </c>
      <c r="C15" s="193">
        <v>0.33000000000004093</v>
      </c>
      <c r="D15" s="203">
        <v>0.33000000000004093</v>
      </c>
      <c r="E15" s="194">
        <v>0</v>
      </c>
      <c r="F15" s="195">
        <v>0</v>
      </c>
      <c r="G15" s="392"/>
      <c r="H15" s="393"/>
    </row>
    <row r="16" spans="1:8" ht="54" customHeight="1" x14ac:dyDescent="0.25">
      <c r="A16" s="204" t="s">
        <v>309</v>
      </c>
      <c r="B16" s="181" t="s">
        <v>482</v>
      </c>
      <c r="C16" s="189">
        <v>100</v>
      </c>
      <c r="D16" s="203">
        <v>1084</v>
      </c>
      <c r="E16" s="194">
        <v>0</v>
      </c>
      <c r="F16" s="195">
        <v>0</v>
      </c>
      <c r="G16" s="392"/>
      <c r="H16" s="392"/>
    </row>
    <row r="17" spans="1:6" ht="57.75" customHeight="1" x14ac:dyDescent="0.25">
      <c r="A17" s="200" t="s">
        <v>311</v>
      </c>
      <c r="B17" s="201" t="s">
        <v>483</v>
      </c>
      <c r="C17" s="202">
        <v>13009.669999999998</v>
      </c>
      <c r="D17" s="202">
        <v>25454.67</v>
      </c>
      <c r="E17" s="202">
        <v>12525</v>
      </c>
      <c r="F17" s="202">
        <v>18231</v>
      </c>
    </row>
    <row r="18" spans="1:6" ht="24.75" customHeight="1" x14ac:dyDescent="0.25">
      <c r="A18" s="196" t="s">
        <v>173</v>
      </c>
      <c r="B18" s="181"/>
      <c r="C18" s="193"/>
      <c r="D18" s="203"/>
      <c r="E18" s="194">
        <v>0</v>
      </c>
      <c r="F18" s="195"/>
    </row>
    <row r="19" spans="1:6" ht="50.25" customHeight="1" x14ac:dyDescent="0.25">
      <c r="A19" s="204" t="s">
        <v>312</v>
      </c>
      <c r="B19" s="181" t="s">
        <v>484</v>
      </c>
      <c r="C19" s="189">
        <v>623.66999999999996</v>
      </c>
      <c r="D19" s="203">
        <v>682.67</v>
      </c>
      <c r="E19" s="194">
        <v>0</v>
      </c>
      <c r="F19" s="195">
        <v>0</v>
      </c>
    </row>
    <row r="20" spans="1:6" ht="36.75" customHeight="1" x14ac:dyDescent="0.25">
      <c r="A20" s="204" t="s">
        <v>313</v>
      </c>
      <c r="B20" s="181" t="s">
        <v>485</v>
      </c>
      <c r="C20" s="189">
        <v>0</v>
      </c>
      <c r="D20" s="203">
        <v>0</v>
      </c>
      <c r="E20" s="194">
        <v>0</v>
      </c>
      <c r="F20" s="195">
        <v>0</v>
      </c>
    </row>
    <row r="21" spans="1:6" ht="38.25" customHeight="1" x14ac:dyDescent="0.25">
      <c r="A21" s="200" t="s">
        <v>314</v>
      </c>
      <c r="B21" s="201" t="s">
        <v>486</v>
      </c>
      <c r="C21" s="202">
        <v>2884</v>
      </c>
      <c r="D21" s="202">
        <v>30096</v>
      </c>
      <c r="E21" s="202">
        <v>27212</v>
      </c>
      <c r="F21" s="202">
        <v>53732</v>
      </c>
    </row>
    <row r="22" spans="1:6" ht="24.75" customHeight="1" x14ac:dyDescent="0.25">
      <c r="A22" s="196" t="s">
        <v>173</v>
      </c>
      <c r="B22" s="181"/>
      <c r="C22" s="193"/>
      <c r="D22" s="203"/>
      <c r="E22" s="194">
        <v>0</v>
      </c>
      <c r="F22" s="195"/>
    </row>
    <row r="23" spans="1:6" ht="39" customHeight="1" x14ac:dyDescent="0.25">
      <c r="A23" s="204" t="s">
        <v>315</v>
      </c>
      <c r="B23" s="181" t="s">
        <v>487</v>
      </c>
      <c r="C23" s="189">
        <v>0</v>
      </c>
      <c r="D23" s="203">
        <v>0</v>
      </c>
      <c r="E23" s="194">
        <v>0</v>
      </c>
      <c r="F23" s="195">
        <v>0</v>
      </c>
    </row>
    <row r="24" spans="1:6" ht="24.75" customHeight="1" x14ac:dyDescent="0.25">
      <c r="A24" s="205" t="s">
        <v>316</v>
      </c>
      <c r="B24" s="181" t="s">
        <v>3</v>
      </c>
      <c r="C24" s="189">
        <v>12438</v>
      </c>
      <c r="D24" s="203">
        <v>18329</v>
      </c>
      <c r="E24" s="194">
        <v>19088</v>
      </c>
      <c r="F24" s="195">
        <v>46815</v>
      </c>
    </row>
    <row r="25" spans="1:6" ht="24.75" customHeight="1" x14ac:dyDescent="0.25">
      <c r="A25" s="205" t="s">
        <v>317</v>
      </c>
      <c r="B25" s="181" t="s">
        <v>4</v>
      </c>
      <c r="C25" s="189">
        <v>0</v>
      </c>
      <c r="D25" s="203">
        <v>0</v>
      </c>
      <c r="E25" s="194">
        <v>0</v>
      </c>
      <c r="F25" s="195">
        <v>0</v>
      </c>
    </row>
    <row r="26" spans="1:6" ht="24.75" customHeight="1" x14ac:dyDescent="0.25">
      <c r="A26" s="206" t="s">
        <v>174</v>
      </c>
      <c r="B26" s="181" t="s">
        <v>87</v>
      </c>
      <c r="C26" s="182">
        <v>157177</v>
      </c>
      <c r="D26" s="207">
        <v>215228</v>
      </c>
      <c r="E26" s="207">
        <v>34672</v>
      </c>
      <c r="F26" s="207">
        <v>70587</v>
      </c>
    </row>
    <row r="27" spans="1:6" ht="24.75" customHeight="1" x14ac:dyDescent="0.25">
      <c r="A27" s="183" t="s">
        <v>52</v>
      </c>
      <c r="B27" s="181" t="s">
        <v>67</v>
      </c>
      <c r="C27" s="184" t="s">
        <v>67</v>
      </c>
      <c r="D27" s="197" t="s">
        <v>67</v>
      </c>
      <c r="E27" s="198">
        <v>0</v>
      </c>
      <c r="F27" s="199"/>
    </row>
    <row r="28" spans="1:6" ht="24.75" customHeight="1" x14ac:dyDescent="0.25">
      <c r="A28" s="188" t="s">
        <v>175</v>
      </c>
      <c r="B28" s="181" t="s">
        <v>60</v>
      </c>
      <c r="C28" s="189">
        <v>14200</v>
      </c>
      <c r="D28" s="193">
        <v>22200</v>
      </c>
      <c r="E28" s="193">
        <v>0</v>
      </c>
      <c r="F28" s="193">
        <v>0</v>
      </c>
    </row>
    <row r="29" spans="1:6" ht="24.75" customHeight="1" x14ac:dyDescent="0.25">
      <c r="A29" s="208" t="s">
        <v>52</v>
      </c>
      <c r="B29" s="209" t="s">
        <v>67</v>
      </c>
      <c r="C29" s="189"/>
      <c r="D29" s="210" t="s">
        <v>67</v>
      </c>
      <c r="E29" s="194">
        <v>0</v>
      </c>
      <c r="F29" s="199"/>
    </row>
    <row r="30" spans="1:6" ht="24.75" customHeight="1" x14ac:dyDescent="0.25">
      <c r="A30" s="205" t="s">
        <v>176</v>
      </c>
      <c r="B30" s="211" t="s">
        <v>177</v>
      </c>
      <c r="C30" s="189">
        <v>0</v>
      </c>
      <c r="D30" s="212">
        <v>0</v>
      </c>
      <c r="E30" s="194">
        <v>0</v>
      </c>
      <c r="F30" s="195">
        <v>0</v>
      </c>
    </row>
    <row r="31" spans="1:6" ht="24.75" customHeight="1" x14ac:dyDescent="0.25">
      <c r="A31" s="205" t="s">
        <v>178</v>
      </c>
      <c r="B31" s="211" t="s">
        <v>179</v>
      </c>
      <c r="C31" s="189">
        <v>14200</v>
      </c>
      <c r="D31" s="212">
        <v>22200</v>
      </c>
      <c r="E31" s="194">
        <v>0</v>
      </c>
      <c r="F31" s="195">
        <v>0</v>
      </c>
    </row>
    <row r="32" spans="1:6" ht="24.75" customHeight="1" x14ac:dyDescent="0.25">
      <c r="A32" s="188" t="s">
        <v>180</v>
      </c>
      <c r="B32" s="211" t="s">
        <v>61</v>
      </c>
      <c r="C32" s="189">
        <v>2500</v>
      </c>
      <c r="D32" s="212">
        <v>6250</v>
      </c>
      <c r="E32" s="194">
        <v>3395</v>
      </c>
      <c r="F32" s="195">
        <v>7084</v>
      </c>
    </row>
    <row r="33" spans="1:6" ht="24.75" customHeight="1" x14ac:dyDescent="0.25">
      <c r="A33" s="188" t="s">
        <v>181</v>
      </c>
      <c r="B33" s="211" t="s">
        <v>182</v>
      </c>
      <c r="C33" s="189">
        <v>0</v>
      </c>
      <c r="D33" s="212"/>
      <c r="E33" s="194">
        <v>0</v>
      </c>
      <c r="F33" s="195"/>
    </row>
    <row r="34" spans="1:6" ht="24.75" customHeight="1" x14ac:dyDescent="0.25">
      <c r="A34" s="188" t="s">
        <v>183</v>
      </c>
      <c r="B34" s="211" t="s">
        <v>184</v>
      </c>
      <c r="C34" s="189">
        <v>31341</v>
      </c>
      <c r="D34" s="231">
        <v>62071</v>
      </c>
      <c r="E34" s="194">
        <v>22752</v>
      </c>
      <c r="F34" s="195">
        <v>44002</v>
      </c>
    </row>
    <row r="35" spans="1:6" ht="24.75" customHeight="1" x14ac:dyDescent="0.25">
      <c r="A35" s="188" t="s">
        <v>185</v>
      </c>
      <c r="B35" s="211" t="s">
        <v>186</v>
      </c>
      <c r="C35" s="189">
        <v>87960</v>
      </c>
      <c r="D35" s="212">
        <v>96027</v>
      </c>
      <c r="E35" s="194">
        <v>4048</v>
      </c>
      <c r="F35" s="195">
        <v>12015</v>
      </c>
    </row>
    <row r="36" spans="1:6" ht="24.75" customHeight="1" x14ac:dyDescent="0.25">
      <c r="A36" s="188" t="s">
        <v>187</v>
      </c>
      <c r="B36" s="211" t="s">
        <v>188</v>
      </c>
      <c r="C36" s="189">
        <v>0</v>
      </c>
      <c r="D36" s="212">
        <v>0</v>
      </c>
      <c r="E36" s="194">
        <v>0</v>
      </c>
      <c r="F36" s="195">
        <v>0</v>
      </c>
    </row>
    <row r="37" spans="1:6" ht="24.75" customHeight="1" x14ac:dyDescent="0.25">
      <c r="A37" s="188" t="s">
        <v>189</v>
      </c>
      <c r="B37" s="211" t="s">
        <v>190</v>
      </c>
      <c r="C37" s="189">
        <v>21176</v>
      </c>
      <c r="D37" s="231">
        <v>28680</v>
      </c>
      <c r="E37" s="194">
        <v>4477</v>
      </c>
      <c r="F37" s="195">
        <v>7486</v>
      </c>
    </row>
    <row r="38" spans="1:6" ht="24.75" customHeight="1" x14ac:dyDescent="0.25">
      <c r="A38" s="188" t="s">
        <v>191</v>
      </c>
      <c r="B38" s="211" t="s">
        <v>192</v>
      </c>
      <c r="C38" s="189">
        <v>0</v>
      </c>
      <c r="D38" s="212">
        <v>0</v>
      </c>
      <c r="E38" s="194">
        <v>0</v>
      </c>
      <c r="F38" s="195">
        <v>0</v>
      </c>
    </row>
    <row r="39" spans="1:6" ht="24.75" customHeight="1" x14ac:dyDescent="0.25">
      <c r="A39" s="188" t="s">
        <v>24</v>
      </c>
      <c r="B39" s="211" t="s">
        <v>193</v>
      </c>
      <c r="C39" s="189">
        <v>0</v>
      </c>
      <c r="D39" s="212">
        <v>0</v>
      </c>
      <c r="E39" s="194">
        <v>0</v>
      </c>
      <c r="F39" s="195">
        <v>0</v>
      </c>
    </row>
    <row r="40" spans="1:6" ht="24.75" customHeight="1" x14ac:dyDescent="0.25">
      <c r="A40" s="206" t="s">
        <v>194</v>
      </c>
      <c r="B40" s="211" t="s">
        <v>88</v>
      </c>
      <c r="C40" s="182">
        <v>4812</v>
      </c>
      <c r="D40" s="213">
        <v>6585</v>
      </c>
      <c r="E40" s="214">
        <v>0</v>
      </c>
      <c r="F40" s="215">
        <v>8058</v>
      </c>
    </row>
    <row r="41" spans="1:6" ht="52.5" customHeight="1" x14ac:dyDescent="0.25">
      <c r="A41" s="206" t="s">
        <v>195</v>
      </c>
      <c r="B41" s="211" t="s">
        <v>21</v>
      </c>
      <c r="C41" s="182">
        <v>700</v>
      </c>
      <c r="D41" s="213">
        <v>10296</v>
      </c>
      <c r="E41" s="214">
        <v>1386</v>
      </c>
      <c r="F41" s="215">
        <v>3999</v>
      </c>
    </row>
    <row r="42" spans="1:6" ht="24.75" customHeight="1" x14ac:dyDescent="0.25">
      <c r="A42" s="206" t="s">
        <v>196</v>
      </c>
      <c r="B42" s="211" t="s">
        <v>90</v>
      </c>
      <c r="C42" s="182">
        <v>0</v>
      </c>
      <c r="D42" s="213">
        <v>105</v>
      </c>
      <c r="E42" s="214">
        <v>0</v>
      </c>
      <c r="F42" s="215">
        <v>0</v>
      </c>
    </row>
    <row r="43" spans="1:6" ht="24.75" customHeight="1" x14ac:dyDescent="0.25">
      <c r="A43" s="206" t="s">
        <v>197</v>
      </c>
      <c r="B43" s="211" t="s">
        <v>91</v>
      </c>
      <c r="C43" s="182">
        <v>32692</v>
      </c>
      <c r="D43" s="213">
        <v>34202</v>
      </c>
      <c r="E43" s="214">
        <v>787</v>
      </c>
      <c r="F43" s="215">
        <v>787</v>
      </c>
    </row>
    <row r="44" spans="1:6" ht="24.75" customHeight="1" x14ac:dyDescent="0.25">
      <c r="A44" s="206" t="s">
        <v>198</v>
      </c>
      <c r="B44" s="211" t="s">
        <v>93</v>
      </c>
      <c r="C44" s="182">
        <v>0</v>
      </c>
      <c r="D44" s="213">
        <v>0</v>
      </c>
      <c r="E44" s="214">
        <v>0</v>
      </c>
      <c r="F44" s="215">
        <v>0</v>
      </c>
    </row>
    <row r="45" spans="1:6" ht="24.75" customHeight="1" x14ac:dyDescent="0.25">
      <c r="A45" s="206" t="s">
        <v>199</v>
      </c>
      <c r="B45" s="211" t="s">
        <v>94</v>
      </c>
      <c r="C45" s="182">
        <v>0</v>
      </c>
      <c r="D45" s="213">
        <v>0</v>
      </c>
      <c r="E45" s="214">
        <v>0</v>
      </c>
      <c r="F45" s="215">
        <v>0</v>
      </c>
    </row>
    <row r="46" spans="1:6" ht="24.75" customHeight="1" x14ac:dyDescent="0.25">
      <c r="A46" s="206" t="s">
        <v>200</v>
      </c>
      <c r="B46" s="211" t="s">
        <v>95</v>
      </c>
      <c r="C46" s="182">
        <v>0</v>
      </c>
      <c r="D46" s="213">
        <v>0</v>
      </c>
      <c r="E46" s="214">
        <v>0</v>
      </c>
      <c r="F46" s="215">
        <v>0</v>
      </c>
    </row>
    <row r="47" spans="1:6" ht="24.75" customHeight="1" x14ac:dyDescent="0.25">
      <c r="A47" s="206" t="s">
        <v>201</v>
      </c>
      <c r="B47" s="211" t="s">
        <v>96</v>
      </c>
      <c r="C47" s="182">
        <v>0</v>
      </c>
      <c r="D47" s="213">
        <v>0</v>
      </c>
      <c r="E47" s="214">
        <v>0</v>
      </c>
      <c r="F47" s="215">
        <v>0</v>
      </c>
    </row>
    <row r="48" spans="1:6" ht="24.75" customHeight="1" x14ac:dyDescent="0.25">
      <c r="A48" s="183" t="s">
        <v>52</v>
      </c>
      <c r="B48" s="211" t="s">
        <v>67</v>
      </c>
      <c r="C48" s="184" t="s">
        <v>67</v>
      </c>
      <c r="D48" s="216" t="s">
        <v>67</v>
      </c>
      <c r="E48" s="198">
        <v>0</v>
      </c>
      <c r="F48" s="199"/>
    </row>
    <row r="49" spans="1:6" ht="24.75" customHeight="1" x14ac:dyDescent="0.25">
      <c r="A49" s="188" t="s">
        <v>202</v>
      </c>
      <c r="B49" s="211" t="s">
        <v>203</v>
      </c>
      <c r="C49" s="189">
        <v>0</v>
      </c>
      <c r="D49" s="212">
        <v>0</v>
      </c>
      <c r="E49" s="194">
        <v>0</v>
      </c>
      <c r="F49" s="195">
        <v>0</v>
      </c>
    </row>
    <row r="50" spans="1:6" ht="24.75" customHeight="1" x14ac:dyDescent="0.25">
      <c r="A50" s="188" t="s">
        <v>204</v>
      </c>
      <c r="B50" s="217" t="s">
        <v>205</v>
      </c>
      <c r="C50" s="189">
        <v>0</v>
      </c>
      <c r="D50" s="218">
        <v>0</v>
      </c>
      <c r="E50" s="194">
        <v>0</v>
      </c>
      <c r="F50" s="195">
        <v>0</v>
      </c>
    </row>
    <row r="51" spans="1:6" ht="24.75" customHeight="1" x14ac:dyDescent="0.25">
      <c r="A51" s="188" t="s">
        <v>206</v>
      </c>
      <c r="B51" s="211" t="s">
        <v>207</v>
      </c>
      <c r="C51" s="189">
        <v>0</v>
      </c>
      <c r="D51" s="212">
        <v>0</v>
      </c>
      <c r="E51" s="194">
        <v>0</v>
      </c>
      <c r="F51" s="195">
        <v>0</v>
      </c>
    </row>
    <row r="52" spans="1:6" ht="24.75" customHeight="1" x14ac:dyDescent="0.25">
      <c r="A52" s="188" t="s">
        <v>208</v>
      </c>
      <c r="B52" s="211" t="s">
        <v>209</v>
      </c>
      <c r="C52" s="189">
        <v>0</v>
      </c>
      <c r="D52" s="212">
        <v>0</v>
      </c>
      <c r="E52" s="194">
        <v>0</v>
      </c>
      <c r="F52" s="195">
        <v>0</v>
      </c>
    </row>
    <row r="53" spans="1:6" ht="54" customHeight="1" x14ac:dyDescent="0.25">
      <c r="A53" s="206" t="s">
        <v>210</v>
      </c>
      <c r="B53" s="211" t="s">
        <v>97</v>
      </c>
      <c r="C53" s="182">
        <v>0</v>
      </c>
      <c r="D53" s="213">
        <v>0</v>
      </c>
      <c r="E53" s="214">
        <v>0</v>
      </c>
      <c r="F53" s="215">
        <v>0</v>
      </c>
    </row>
    <row r="54" spans="1:6" ht="24.75" customHeight="1" x14ac:dyDescent="0.25">
      <c r="A54" s="206" t="s">
        <v>211</v>
      </c>
      <c r="B54" s="211" t="s">
        <v>98</v>
      </c>
      <c r="C54" s="182">
        <v>0</v>
      </c>
      <c r="D54" s="219"/>
      <c r="E54" s="220">
        <v>0</v>
      </c>
      <c r="F54" s="221"/>
    </row>
    <row r="55" spans="1:6" ht="24.75" customHeight="1" x14ac:dyDescent="0.25">
      <c r="A55" s="222" t="s">
        <v>212</v>
      </c>
      <c r="B55" s="223" t="s">
        <v>64</v>
      </c>
      <c r="C55" s="224">
        <v>224753</v>
      </c>
      <c r="D55" s="224">
        <v>344923</v>
      </c>
      <c r="E55" s="224">
        <v>95670</v>
      </c>
      <c r="F55" s="224">
        <v>202209</v>
      </c>
    </row>
    <row r="56" spans="1:6" ht="24.75" customHeight="1" x14ac:dyDescent="0.25">
      <c r="A56" s="206" t="s">
        <v>213</v>
      </c>
      <c r="B56" s="211" t="s">
        <v>66</v>
      </c>
      <c r="C56" s="182">
        <v>5</v>
      </c>
      <c r="D56" s="182">
        <v>5</v>
      </c>
      <c r="E56" s="182">
        <v>0</v>
      </c>
      <c r="F56" s="182">
        <v>1215</v>
      </c>
    </row>
    <row r="57" spans="1:6" ht="24.75" customHeight="1" x14ac:dyDescent="0.25">
      <c r="A57" s="183" t="s">
        <v>173</v>
      </c>
      <c r="B57" s="211" t="s">
        <v>67</v>
      </c>
      <c r="C57" s="184" t="s">
        <v>67</v>
      </c>
      <c r="D57" s="216" t="s">
        <v>67</v>
      </c>
      <c r="E57" s="198">
        <v>0</v>
      </c>
      <c r="F57" s="199"/>
    </row>
    <row r="58" spans="1:6" ht="24.75" customHeight="1" x14ac:dyDescent="0.25">
      <c r="A58" s="188" t="s">
        <v>214</v>
      </c>
      <c r="B58" s="211" t="s">
        <v>69</v>
      </c>
      <c r="C58" s="189">
        <v>0</v>
      </c>
      <c r="D58" s="212">
        <v>0</v>
      </c>
      <c r="E58" s="194">
        <v>0</v>
      </c>
      <c r="F58" s="195">
        <v>0</v>
      </c>
    </row>
    <row r="59" spans="1:6" ht="24.75" customHeight="1" x14ac:dyDescent="0.25">
      <c r="A59" s="188" t="s">
        <v>62</v>
      </c>
      <c r="B59" s="211" t="s">
        <v>71</v>
      </c>
      <c r="C59" s="189">
        <v>0</v>
      </c>
      <c r="D59" s="212">
        <v>0</v>
      </c>
      <c r="E59" s="194">
        <v>0</v>
      </c>
      <c r="F59" s="195">
        <v>0</v>
      </c>
    </row>
    <row r="60" spans="1:6" ht="24.75" customHeight="1" x14ac:dyDescent="0.25">
      <c r="A60" s="188" t="s">
        <v>63</v>
      </c>
      <c r="B60" s="211" t="s">
        <v>72</v>
      </c>
      <c r="C60" s="189">
        <v>5</v>
      </c>
      <c r="D60" s="212">
        <v>5</v>
      </c>
      <c r="E60" s="194">
        <v>0</v>
      </c>
      <c r="F60" s="195">
        <v>1215</v>
      </c>
    </row>
    <row r="61" spans="1:6" ht="24.75" customHeight="1" x14ac:dyDescent="0.25">
      <c r="A61" s="188" t="s">
        <v>215</v>
      </c>
      <c r="B61" s="211" t="s">
        <v>73</v>
      </c>
      <c r="C61" s="189">
        <v>0</v>
      </c>
      <c r="D61" s="212">
        <v>0</v>
      </c>
      <c r="E61" s="194">
        <v>0</v>
      </c>
      <c r="F61" s="195">
        <v>0</v>
      </c>
    </row>
    <row r="62" spans="1:6" ht="24.75" customHeight="1" x14ac:dyDescent="0.25">
      <c r="A62" s="206" t="s">
        <v>216</v>
      </c>
      <c r="B62" s="211" t="s">
        <v>75</v>
      </c>
      <c r="C62" s="182">
        <v>47615</v>
      </c>
      <c r="D62" s="207">
        <v>56919</v>
      </c>
      <c r="E62" s="207">
        <v>4725</v>
      </c>
      <c r="F62" s="207">
        <v>7768</v>
      </c>
    </row>
    <row r="63" spans="1:6" ht="24.75" customHeight="1" x14ac:dyDescent="0.25">
      <c r="A63" s="183" t="s">
        <v>52</v>
      </c>
      <c r="B63" s="211" t="s">
        <v>67</v>
      </c>
      <c r="C63" s="184" t="s">
        <v>67</v>
      </c>
      <c r="D63" s="216"/>
      <c r="E63" s="198">
        <v>0</v>
      </c>
      <c r="F63" s="199"/>
    </row>
    <row r="64" spans="1:6" ht="24.75" customHeight="1" x14ac:dyDescent="0.25">
      <c r="A64" s="188" t="s">
        <v>217</v>
      </c>
      <c r="B64" s="211" t="s">
        <v>101</v>
      </c>
      <c r="C64" s="189">
        <v>0</v>
      </c>
      <c r="D64" s="212">
        <v>0</v>
      </c>
      <c r="E64" s="212">
        <v>0</v>
      </c>
      <c r="F64" s="195">
        <v>0</v>
      </c>
    </row>
    <row r="65" spans="1:6" ht="24.75" customHeight="1" x14ac:dyDescent="0.25">
      <c r="A65" s="188" t="s">
        <v>218</v>
      </c>
      <c r="B65" s="211" t="s">
        <v>105</v>
      </c>
      <c r="C65" s="189">
        <v>2475</v>
      </c>
      <c r="D65" s="212">
        <v>4914</v>
      </c>
      <c r="E65" s="212">
        <v>2716</v>
      </c>
      <c r="F65" s="195">
        <v>3469</v>
      </c>
    </row>
    <row r="66" spans="1:6" ht="24.75" customHeight="1" x14ac:dyDescent="0.25">
      <c r="A66" s="188" t="s">
        <v>219</v>
      </c>
      <c r="B66" s="211" t="s">
        <v>107</v>
      </c>
      <c r="C66" s="189">
        <v>12490</v>
      </c>
      <c r="D66" s="212">
        <v>14860</v>
      </c>
      <c r="E66" s="194">
        <v>1129</v>
      </c>
      <c r="F66" s="195">
        <v>2727</v>
      </c>
    </row>
    <row r="67" spans="1:6" ht="24.75" customHeight="1" x14ac:dyDescent="0.25">
      <c r="A67" s="188" t="s">
        <v>437</v>
      </c>
      <c r="B67" s="211" t="s">
        <v>109</v>
      </c>
      <c r="C67" s="189">
        <v>-402</v>
      </c>
      <c r="D67" s="212">
        <v>4093</v>
      </c>
      <c r="E67" s="194">
        <v>880</v>
      </c>
      <c r="F67" s="195">
        <v>1572</v>
      </c>
    </row>
    <row r="68" spans="1:6" ht="24.75" customHeight="1" x14ac:dyDescent="0.25">
      <c r="A68" s="188" t="s">
        <v>220</v>
      </c>
      <c r="B68" s="211" t="s">
        <v>111</v>
      </c>
      <c r="C68" s="189">
        <v>0</v>
      </c>
      <c r="D68" s="212">
        <v>0</v>
      </c>
      <c r="E68" s="194">
        <v>0</v>
      </c>
      <c r="F68" s="195">
        <v>0</v>
      </c>
    </row>
    <row r="69" spans="1:6" ht="24.75" customHeight="1" x14ac:dyDescent="0.25">
      <c r="A69" s="188" t="s">
        <v>221</v>
      </c>
      <c r="B69" s="211" t="s">
        <v>113</v>
      </c>
      <c r="C69" s="189">
        <v>33052</v>
      </c>
      <c r="D69" s="212">
        <v>33052</v>
      </c>
      <c r="E69" s="212">
        <v>0</v>
      </c>
      <c r="F69" s="195">
        <v>0</v>
      </c>
    </row>
    <row r="70" spans="1:6" ht="39" customHeight="1" x14ac:dyDescent="0.25">
      <c r="A70" s="206" t="s">
        <v>222</v>
      </c>
      <c r="B70" s="211" t="s">
        <v>77</v>
      </c>
      <c r="C70" s="182">
        <v>4165</v>
      </c>
      <c r="D70" s="182">
        <v>4165</v>
      </c>
      <c r="E70" s="182">
        <v>0</v>
      </c>
      <c r="F70" s="182">
        <v>0</v>
      </c>
    </row>
    <row r="71" spans="1:6" ht="24.75" customHeight="1" x14ac:dyDescent="0.25">
      <c r="A71" s="183" t="s">
        <v>52</v>
      </c>
      <c r="B71" s="217" t="s">
        <v>67</v>
      </c>
      <c r="C71" s="184" t="s">
        <v>67</v>
      </c>
      <c r="D71" s="216" t="s">
        <v>67</v>
      </c>
      <c r="E71" s="198">
        <v>0</v>
      </c>
      <c r="F71" s="199"/>
    </row>
    <row r="72" spans="1:6" ht="24.75" customHeight="1" x14ac:dyDescent="0.25">
      <c r="A72" s="188" t="s">
        <v>223</v>
      </c>
      <c r="B72" s="211" t="s">
        <v>118</v>
      </c>
      <c r="C72" s="189">
        <v>0</v>
      </c>
      <c r="D72" s="212">
        <v>0</v>
      </c>
      <c r="E72" s="194">
        <v>0</v>
      </c>
      <c r="F72" s="195">
        <v>0</v>
      </c>
    </row>
    <row r="73" spans="1:6" ht="24.75" customHeight="1" x14ac:dyDescent="0.25">
      <c r="A73" s="188" t="s">
        <v>224</v>
      </c>
      <c r="B73" s="211" t="s">
        <v>120</v>
      </c>
      <c r="C73" s="189">
        <v>4165</v>
      </c>
      <c r="D73" s="212">
        <v>4165</v>
      </c>
      <c r="E73" s="194">
        <v>0</v>
      </c>
      <c r="F73" s="195">
        <v>0</v>
      </c>
    </row>
    <row r="74" spans="1:6" ht="24.75" customHeight="1" x14ac:dyDescent="0.25">
      <c r="A74" s="188" t="s">
        <v>225</v>
      </c>
      <c r="B74" s="211" t="s">
        <v>122</v>
      </c>
      <c r="C74" s="189">
        <v>0</v>
      </c>
      <c r="D74" s="212">
        <v>0</v>
      </c>
      <c r="E74" s="194">
        <v>0</v>
      </c>
      <c r="F74" s="195">
        <v>0</v>
      </c>
    </row>
    <row r="75" spans="1:6" ht="24.75" customHeight="1" x14ac:dyDescent="0.25">
      <c r="A75" s="188" t="s">
        <v>226</v>
      </c>
      <c r="B75" s="211" t="s">
        <v>124</v>
      </c>
      <c r="C75" s="189">
        <v>0</v>
      </c>
      <c r="D75" s="212">
        <v>0</v>
      </c>
      <c r="E75" s="194">
        <v>0</v>
      </c>
      <c r="F75" s="195">
        <v>0</v>
      </c>
    </row>
    <row r="76" spans="1:6" ht="24.75" customHeight="1" x14ac:dyDescent="0.25">
      <c r="A76" s="188" t="s">
        <v>227</v>
      </c>
      <c r="B76" s="211" t="s">
        <v>228</v>
      </c>
      <c r="C76" s="189">
        <v>0</v>
      </c>
      <c r="D76" s="212">
        <v>0</v>
      </c>
      <c r="E76" s="194">
        <v>0</v>
      </c>
      <c r="F76" s="195">
        <v>0</v>
      </c>
    </row>
    <row r="77" spans="1:6" ht="24.75" customHeight="1" x14ac:dyDescent="0.25">
      <c r="A77" s="206" t="s">
        <v>229</v>
      </c>
      <c r="B77" s="211" t="s">
        <v>78</v>
      </c>
      <c r="C77" s="182">
        <v>0</v>
      </c>
      <c r="D77" s="213">
        <v>1199</v>
      </c>
      <c r="E77" s="214">
        <v>0</v>
      </c>
      <c r="F77" s="215">
        <v>0</v>
      </c>
    </row>
    <row r="78" spans="1:6" ht="55.5" customHeight="1" x14ac:dyDescent="0.25">
      <c r="A78" s="206" t="s">
        <v>230</v>
      </c>
      <c r="B78" s="211" t="s">
        <v>79</v>
      </c>
      <c r="C78" s="182">
        <v>9089</v>
      </c>
      <c r="D78" s="213">
        <v>13011</v>
      </c>
      <c r="E78" s="214">
        <v>5478</v>
      </c>
      <c r="F78" s="215">
        <v>5478</v>
      </c>
    </row>
    <row r="79" spans="1:6" ht="24.75" customHeight="1" x14ac:dyDescent="0.25">
      <c r="A79" s="206" t="s">
        <v>231</v>
      </c>
      <c r="B79" s="211" t="s">
        <v>80</v>
      </c>
      <c r="C79" s="182">
        <v>2531</v>
      </c>
      <c r="D79" s="213">
        <v>2544</v>
      </c>
      <c r="E79" s="214">
        <v>913</v>
      </c>
      <c r="F79" s="215">
        <v>913</v>
      </c>
    </row>
    <row r="80" spans="1:6" ht="24.75" customHeight="1" x14ac:dyDescent="0.25">
      <c r="A80" s="206" t="s">
        <v>232</v>
      </c>
      <c r="B80" s="211" t="s">
        <v>126</v>
      </c>
      <c r="C80" s="182">
        <v>7023</v>
      </c>
      <c r="D80" s="213">
        <v>10177</v>
      </c>
      <c r="E80" s="214">
        <v>15</v>
      </c>
      <c r="F80" s="215">
        <v>19</v>
      </c>
    </row>
    <row r="81" spans="1:6" ht="24.75" customHeight="1" x14ac:dyDescent="0.25">
      <c r="A81" s="206" t="s">
        <v>233</v>
      </c>
      <c r="B81" s="211" t="s">
        <v>128</v>
      </c>
      <c r="C81" s="182">
        <v>0</v>
      </c>
      <c r="D81" s="213">
        <v>0</v>
      </c>
      <c r="E81" s="214">
        <v>0</v>
      </c>
      <c r="F81" s="215">
        <v>0</v>
      </c>
    </row>
    <row r="82" spans="1:6" ht="24.75" customHeight="1" x14ac:dyDescent="0.25">
      <c r="A82" s="206" t="s">
        <v>74</v>
      </c>
      <c r="B82" s="211" t="s">
        <v>129</v>
      </c>
      <c r="C82" s="182">
        <v>0</v>
      </c>
      <c r="D82" s="213">
        <v>0</v>
      </c>
      <c r="E82" s="214">
        <v>0</v>
      </c>
      <c r="F82" s="215">
        <v>0</v>
      </c>
    </row>
    <row r="83" spans="1:6" ht="24.75" customHeight="1" x14ac:dyDescent="0.25">
      <c r="A83" s="206" t="s">
        <v>234</v>
      </c>
      <c r="B83" s="211" t="s">
        <v>130</v>
      </c>
      <c r="C83" s="182">
        <v>0</v>
      </c>
      <c r="D83" s="219">
        <v>0</v>
      </c>
      <c r="E83" s="220">
        <v>0</v>
      </c>
      <c r="F83" s="221">
        <v>0</v>
      </c>
    </row>
    <row r="84" spans="1:6" ht="24.75" customHeight="1" x14ac:dyDescent="0.25">
      <c r="A84" s="206" t="s">
        <v>235</v>
      </c>
      <c r="B84" s="211" t="s">
        <v>132</v>
      </c>
      <c r="C84" s="182">
        <v>0</v>
      </c>
      <c r="D84" s="219">
        <v>0</v>
      </c>
      <c r="E84" s="220">
        <v>0</v>
      </c>
      <c r="F84" s="221">
        <v>0</v>
      </c>
    </row>
    <row r="85" spans="1:6" ht="24.75" customHeight="1" x14ac:dyDescent="0.25">
      <c r="A85" s="183" t="s">
        <v>52</v>
      </c>
      <c r="B85" s="211" t="s">
        <v>67</v>
      </c>
      <c r="C85" s="184" t="s">
        <v>67</v>
      </c>
      <c r="D85" s="227" t="s">
        <v>67</v>
      </c>
      <c r="E85" s="186">
        <v>0</v>
      </c>
      <c r="F85" s="187"/>
    </row>
    <row r="86" spans="1:6" ht="24.75" customHeight="1" x14ac:dyDescent="0.25">
      <c r="A86" s="188" t="s">
        <v>236</v>
      </c>
      <c r="B86" s="211" t="s">
        <v>237</v>
      </c>
      <c r="C86" s="189">
        <v>0</v>
      </c>
      <c r="D86" s="225">
        <v>0</v>
      </c>
      <c r="E86" s="191">
        <v>0</v>
      </c>
      <c r="F86" s="192">
        <v>0</v>
      </c>
    </row>
    <row r="87" spans="1:6" ht="24.75" customHeight="1" x14ac:dyDescent="0.25">
      <c r="A87" s="188" t="s">
        <v>238</v>
      </c>
      <c r="B87" s="211" t="s">
        <v>239</v>
      </c>
      <c r="C87" s="189">
        <v>0</v>
      </c>
      <c r="D87" s="225">
        <v>0</v>
      </c>
      <c r="E87" s="191">
        <v>0</v>
      </c>
      <c r="F87" s="192">
        <v>0</v>
      </c>
    </row>
    <row r="88" spans="1:6" ht="24.75" customHeight="1" x14ac:dyDescent="0.25">
      <c r="A88" s="188" t="s">
        <v>240</v>
      </c>
      <c r="B88" s="211" t="s">
        <v>241</v>
      </c>
      <c r="C88" s="189">
        <v>0</v>
      </c>
      <c r="D88" s="212">
        <v>0</v>
      </c>
      <c r="E88" s="194">
        <v>0</v>
      </c>
      <c r="F88" s="195">
        <v>0</v>
      </c>
    </row>
    <row r="89" spans="1:6" ht="24.75" customHeight="1" x14ac:dyDescent="0.25">
      <c r="A89" s="188" t="s">
        <v>242</v>
      </c>
      <c r="B89" s="211" t="s">
        <v>243</v>
      </c>
      <c r="C89" s="189">
        <v>0</v>
      </c>
      <c r="D89" s="212">
        <v>0</v>
      </c>
      <c r="E89" s="194">
        <v>0</v>
      </c>
      <c r="F89" s="195">
        <v>0</v>
      </c>
    </row>
    <row r="90" spans="1:6" ht="55.5" customHeight="1" x14ac:dyDescent="0.25">
      <c r="A90" s="206" t="s">
        <v>244</v>
      </c>
      <c r="B90" s="211" t="s">
        <v>133</v>
      </c>
      <c r="C90" s="182">
        <v>0</v>
      </c>
      <c r="D90" s="207">
        <v>0</v>
      </c>
      <c r="E90" s="214">
        <v>0</v>
      </c>
      <c r="F90" s="215">
        <v>0</v>
      </c>
    </row>
    <row r="91" spans="1:6" ht="24.75" customHeight="1" x14ac:dyDescent="0.25">
      <c r="A91" s="206" t="s">
        <v>65</v>
      </c>
      <c r="B91" s="211" t="s">
        <v>134</v>
      </c>
      <c r="C91" s="182">
        <v>96832</v>
      </c>
      <c r="D91" s="207">
        <v>192738</v>
      </c>
      <c r="E91" s="207">
        <v>66764</v>
      </c>
      <c r="F91" s="207">
        <v>125688</v>
      </c>
    </row>
    <row r="92" spans="1:6" ht="24.75" customHeight="1" x14ac:dyDescent="0.25">
      <c r="A92" s="183" t="s">
        <v>52</v>
      </c>
      <c r="B92" s="217" t="s">
        <v>67</v>
      </c>
      <c r="C92" s="184" t="s">
        <v>67</v>
      </c>
      <c r="D92" s="228" t="s">
        <v>67</v>
      </c>
      <c r="E92" s="198">
        <v>0</v>
      </c>
      <c r="F92" s="199"/>
    </row>
    <row r="93" spans="1:6" ht="24.75" customHeight="1" x14ac:dyDescent="0.25">
      <c r="A93" s="188" t="s">
        <v>68</v>
      </c>
      <c r="B93" s="211" t="s">
        <v>245</v>
      </c>
      <c r="C93" s="189">
        <v>57780</v>
      </c>
      <c r="D93" s="194">
        <v>108508</v>
      </c>
      <c r="E93" s="194">
        <v>44558</v>
      </c>
      <c r="F93" s="195">
        <v>83597</v>
      </c>
    </row>
    <row r="94" spans="1:6" ht="24.75" customHeight="1" x14ac:dyDescent="0.25">
      <c r="A94" s="229" t="s">
        <v>246</v>
      </c>
      <c r="B94" s="230" t="s">
        <v>488</v>
      </c>
      <c r="C94" s="189">
        <v>479</v>
      </c>
      <c r="D94" s="194">
        <v>848</v>
      </c>
      <c r="E94" s="194">
        <v>303</v>
      </c>
      <c r="F94" s="195">
        <v>595</v>
      </c>
    </row>
    <row r="95" spans="1:6" ht="24.75" customHeight="1" x14ac:dyDescent="0.25">
      <c r="A95" s="229" t="s">
        <v>260</v>
      </c>
      <c r="B95" s="230" t="s">
        <v>247</v>
      </c>
      <c r="C95" s="189">
        <v>29831</v>
      </c>
      <c r="D95" s="232">
        <v>68108</v>
      </c>
      <c r="E95" s="194">
        <v>16314</v>
      </c>
      <c r="F95" s="195">
        <v>30896</v>
      </c>
    </row>
    <row r="96" spans="1:6" ht="24.75" customHeight="1" x14ac:dyDescent="0.25">
      <c r="A96" s="229" t="s">
        <v>70</v>
      </c>
      <c r="B96" s="230" t="s">
        <v>248</v>
      </c>
      <c r="C96" s="189">
        <v>1277</v>
      </c>
      <c r="D96" s="233">
        <v>2492</v>
      </c>
      <c r="E96" s="191">
        <v>1032</v>
      </c>
      <c r="F96" s="192">
        <v>1925</v>
      </c>
    </row>
    <row r="97" spans="1:6" ht="39" customHeight="1" x14ac:dyDescent="0.25">
      <c r="A97" s="229" t="s">
        <v>250</v>
      </c>
      <c r="B97" s="230" t="s">
        <v>249</v>
      </c>
      <c r="C97" s="189">
        <v>7465</v>
      </c>
      <c r="D97" s="233">
        <v>12782</v>
      </c>
      <c r="E97" s="191">
        <v>4557</v>
      </c>
      <c r="F97" s="192">
        <v>8675</v>
      </c>
    </row>
    <row r="98" spans="1:6" ht="24.75" customHeight="1" x14ac:dyDescent="0.25">
      <c r="A98" s="229" t="s">
        <v>252</v>
      </c>
      <c r="B98" s="230" t="s">
        <v>251</v>
      </c>
      <c r="C98" s="189">
        <v>0</v>
      </c>
      <c r="D98" s="192">
        <v>0</v>
      </c>
      <c r="E98" s="191">
        <v>0</v>
      </c>
      <c r="F98" s="192">
        <v>0</v>
      </c>
    </row>
    <row r="99" spans="1:6" ht="24.75" customHeight="1" x14ac:dyDescent="0.25">
      <c r="A99" s="234" t="s">
        <v>76</v>
      </c>
      <c r="B99" s="230" t="s">
        <v>136</v>
      </c>
      <c r="C99" s="189">
        <v>0</v>
      </c>
      <c r="D99" s="192">
        <v>0</v>
      </c>
      <c r="E99" s="191">
        <v>0</v>
      </c>
      <c r="F99" s="192">
        <v>0</v>
      </c>
    </row>
    <row r="100" spans="1:6" ht="24.75" customHeight="1" x14ac:dyDescent="0.25">
      <c r="A100" s="235" t="s">
        <v>253</v>
      </c>
      <c r="B100" s="236" t="s">
        <v>137</v>
      </c>
      <c r="C100" s="237">
        <v>167260</v>
      </c>
      <c r="D100" s="237">
        <v>280758</v>
      </c>
      <c r="E100" s="237">
        <v>77895</v>
      </c>
      <c r="F100" s="237">
        <v>141081</v>
      </c>
    </row>
    <row r="101" spans="1:6" ht="24.75" customHeight="1" x14ac:dyDescent="0.25">
      <c r="A101" s="229" t="s">
        <v>67</v>
      </c>
      <c r="B101" s="230" t="s">
        <v>67</v>
      </c>
      <c r="C101" s="238" t="s">
        <v>67</v>
      </c>
      <c r="D101" s="239" t="s">
        <v>67</v>
      </c>
      <c r="E101" s="239">
        <v>0</v>
      </c>
      <c r="F101" s="239"/>
    </row>
    <row r="102" spans="1:6" ht="36.75" customHeight="1" x14ac:dyDescent="0.25">
      <c r="A102" s="235" t="s">
        <v>254</v>
      </c>
      <c r="B102" s="236" t="s">
        <v>139</v>
      </c>
      <c r="C102" s="237">
        <v>57493</v>
      </c>
      <c r="D102" s="237">
        <v>64165</v>
      </c>
      <c r="E102" s="237">
        <v>17775</v>
      </c>
      <c r="F102" s="237">
        <v>61128</v>
      </c>
    </row>
    <row r="103" spans="1:6" ht="13.5" customHeight="1" x14ac:dyDescent="0.25">
      <c r="A103" s="229" t="s">
        <v>67</v>
      </c>
      <c r="B103" s="230" t="s">
        <v>67</v>
      </c>
      <c r="C103" s="238" t="s">
        <v>67</v>
      </c>
      <c r="D103" s="239" t="s">
        <v>67</v>
      </c>
      <c r="E103" s="240">
        <v>0</v>
      </c>
      <c r="F103" s="187"/>
    </row>
    <row r="104" spans="1:6" ht="24.75" customHeight="1" x14ac:dyDescent="0.25">
      <c r="A104" s="229" t="s">
        <v>81</v>
      </c>
      <c r="B104" s="230" t="s">
        <v>151</v>
      </c>
      <c r="C104" s="189">
        <v>2060</v>
      </c>
      <c r="D104" s="231">
        <v>2069</v>
      </c>
      <c r="E104" s="191">
        <v>0</v>
      </c>
      <c r="F104" s="195">
        <v>102</v>
      </c>
    </row>
    <row r="105" spans="1:6" ht="12.75" customHeight="1" x14ac:dyDescent="0.25">
      <c r="A105" s="229" t="s">
        <v>67</v>
      </c>
      <c r="B105" s="230" t="s">
        <v>67</v>
      </c>
      <c r="C105" s="238" t="s">
        <v>67</v>
      </c>
      <c r="D105" s="239" t="s">
        <v>67</v>
      </c>
      <c r="E105" s="246">
        <v>0</v>
      </c>
      <c r="F105" s="187"/>
    </row>
    <row r="106" spans="1:6" ht="33" customHeight="1" x14ac:dyDescent="0.25">
      <c r="A106" s="235" t="s">
        <v>525</v>
      </c>
      <c r="B106" s="236" t="s">
        <v>526</v>
      </c>
      <c r="C106" s="237">
        <v>55433</v>
      </c>
      <c r="D106" s="237">
        <v>62096</v>
      </c>
      <c r="E106" s="249">
        <v>17775</v>
      </c>
      <c r="F106" s="249">
        <v>61026</v>
      </c>
    </row>
    <row r="107" spans="1:6" ht="24.75" customHeight="1" x14ac:dyDescent="0.25">
      <c r="A107" s="234" t="s">
        <v>527</v>
      </c>
      <c r="B107" s="230" t="s">
        <v>41</v>
      </c>
      <c r="C107" s="395">
        <v>0</v>
      </c>
      <c r="D107" s="395">
        <v>0</v>
      </c>
      <c r="E107" s="252">
        <v>0</v>
      </c>
      <c r="F107" s="221">
        <v>0</v>
      </c>
    </row>
    <row r="108" spans="1:6" ht="24.75" customHeight="1" x14ac:dyDescent="0.25">
      <c r="A108" s="229" t="s">
        <v>67</v>
      </c>
      <c r="B108" s="230" t="s">
        <v>67</v>
      </c>
      <c r="C108" s="238" t="s">
        <v>67</v>
      </c>
      <c r="D108" s="238" t="s">
        <v>67</v>
      </c>
      <c r="E108" s="246"/>
      <c r="F108" s="187"/>
    </row>
    <row r="109" spans="1:6" ht="24.75" customHeight="1" x14ac:dyDescent="0.25">
      <c r="A109" s="235" t="s">
        <v>528</v>
      </c>
      <c r="B109" s="236" t="s">
        <v>43</v>
      </c>
      <c r="C109" s="237">
        <v>55433</v>
      </c>
      <c r="D109" s="237">
        <v>62096</v>
      </c>
      <c r="E109" s="249">
        <v>17775</v>
      </c>
      <c r="F109" s="249">
        <v>61026</v>
      </c>
    </row>
    <row r="110" spans="1:6" ht="24.75" customHeight="1" x14ac:dyDescent="0.25">
      <c r="A110" s="253" t="s">
        <v>529</v>
      </c>
      <c r="B110" s="253"/>
      <c r="C110" s="253"/>
      <c r="D110" s="396">
        <v>0</v>
      </c>
      <c r="E110" s="171"/>
      <c r="F110" s="255"/>
    </row>
    <row r="111" spans="1:6" ht="18" x14ac:dyDescent="0.35">
      <c r="A111" s="151" t="s">
        <v>257</v>
      </c>
      <c r="B111" s="256"/>
      <c r="C111" s="256"/>
      <c r="D111" s="394"/>
      <c r="E111" s="151"/>
      <c r="F111" s="258"/>
    </row>
    <row r="112" spans="1:6" ht="38.25" customHeight="1" x14ac:dyDescent="0.35">
      <c r="A112" s="410" t="s">
        <v>724</v>
      </c>
      <c r="B112" s="410"/>
      <c r="C112" s="410"/>
      <c r="D112" s="410"/>
      <c r="E112" s="410"/>
      <c r="F112" s="410"/>
    </row>
    <row r="113" spans="1:6" ht="18" x14ac:dyDescent="0.35">
      <c r="A113" s="151"/>
      <c r="B113" s="151"/>
      <c r="C113" s="151"/>
      <c r="D113" s="394">
        <v>2424234981.7199998</v>
      </c>
      <c r="E113" s="151"/>
      <c r="F113" s="151"/>
    </row>
    <row r="114" spans="1:6" ht="18" x14ac:dyDescent="0.35">
      <c r="A114" s="411"/>
      <c r="B114" s="412"/>
      <c r="C114" s="412"/>
      <c r="D114" s="412"/>
      <c r="E114" s="259"/>
      <c r="F114" s="151"/>
    </row>
    <row r="115" spans="1:6" ht="15.75" x14ac:dyDescent="0.3">
      <c r="A115" s="76" t="s">
        <v>430</v>
      </c>
      <c r="B115" s="78" t="s">
        <v>493</v>
      </c>
      <c r="C115" s="79">
        <v>7627074421.8299999</v>
      </c>
      <c r="D115" s="394">
        <v>7627074421.8299999</v>
      </c>
      <c r="E115" s="80"/>
      <c r="F115" s="91"/>
    </row>
    <row r="116" spans="1:6" ht="15.75" x14ac:dyDescent="0.3">
      <c r="A116" s="76" t="s">
        <v>431</v>
      </c>
      <c r="B116" s="78" t="s">
        <v>495</v>
      </c>
      <c r="C116" s="79"/>
      <c r="D116" s="80"/>
      <c r="E116" s="80"/>
      <c r="F116" s="91"/>
    </row>
    <row r="117" spans="1:6" ht="15.75" x14ac:dyDescent="0.3">
      <c r="A117" s="76" t="s">
        <v>432</v>
      </c>
      <c r="B117" s="78" t="s">
        <v>530</v>
      </c>
      <c r="C117" s="79"/>
      <c r="D117" s="80"/>
      <c r="E117" s="80"/>
      <c r="F117" s="91"/>
    </row>
    <row r="118" spans="1:6" ht="18" x14ac:dyDescent="0.3">
      <c r="A118" s="76" t="s">
        <v>433</v>
      </c>
      <c r="B118" s="82" t="s">
        <v>496</v>
      </c>
      <c r="C118" s="79"/>
      <c r="D118" s="80"/>
      <c r="E118" s="80"/>
      <c r="F118" s="91"/>
    </row>
    <row r="119" spans="1:6" ht="15" x14ac:dyDescent="0.25">
      <c r="A119" s="83"/>
      <c r="B119" s="77"/>
      <c r="C119" s="77"/>
      <c r="D119" s="77"/>
      <c r="E119" s="77"/>
      <c r="F119" s="77"/>
    </row>
    <row r="120" spans="1:6" ht="15.75" x14ac:dyDescent="0.3">
      <c r="A120" s="76" t="s">
        <v>256</v>
      </c>
      <c r="B120" s="76" t="s">
        <v>328</v>
      </c>
      <c r="C120" s="76"/>
      <c r="D120" s="84"/>
      <c r="E120" s="84"/>
      <c r="F120" s="85"/>
    </row>
    <row r="121" spans="1:6" ht="15.75" x14ac:dyDescent="0.3">
      <c r="A121" s="85"/>
      <c r="B121" s="85"/>
      <c r="C121" s="85"/>
      <c r="D121" s="85"/>
      <c r="E121" s="85"/>
      <c r="F121" s="85"/>
    </row>
    <row r="122" spans="1:6" ht="15.75" x14ac:dyDescent="0.3">
      <c r="A122" s="76" t="s">
        <v>434</v>
      </c>
      <c r="B122" s="76" t="s">
        <v>328</v>
      </c>
      <c r="C122" s="85"/>
      <c r="D122" s="84"/>
      <c r="E122" s="84"/>
      <c r="F122" s="86" t="s">
        <v>531</v>
      </c>
    </row>
    <row r="123" spans="1:6" ht="15.75" x14ac:dyDescent="0.3">
      <c r="A123" s="87"/>
      <c r="B123" s="76"/>
      <c r="C123" s="76"/>
      <c r="D123" s="85"/>
      <c r="E123" s="85"/>
      <c r="F123" s="76"/>
    </row>
    <row r="124" spans="1:6" ht="15.75" x14ac:dyDescent="0.3">
      <c r="A124" s="76" t="s">
        <v>435</v>
      </c>
      <c r="B124" s="86" t="s">
        <v>577</v>
      </c>
      <c r="C124" s="85"/>
      <c r="D124" s="84"/>
      <c r="E124" s="84"/>
      <c r="F124" s="86" t="s">
        <v>532</v>
      </c>
    </row>
    <row r="125" spans="1:6" ht="15" x14ac:dyDescent="0.25">
      <c r="A125" s="28"/>
      <c r="B125" s="28"/>
      <c r="C125" s="28"/>
      <c r="D125" s="28"/>
      <c r="E125" s="28"/>
      <c r="F125" s="28"/>
    </row>
    <row r="126" spans="1:6" ht="15.75" x14ac:dyDescent="0.3">
      <c r="A126" s="88" t="s">
        <v>505</v>
      </c>
      <c r="B126" s="89">
        <v>45478</v>
      </c>
      <c r="C126" s="97" t="s">
        <v>9</v>
      </c>
      <c r="D126" s="28"/>
      <c r="E126" s="28"/>
      <c r="F126" s="28"/>
    </row>
    <row r="127" spans="1:6" ht="24.75" customHeight="1" x14ac:dyDescent="0.25">
      <c r="A127" s="1"/>
      <c r="B127" s="1"/>
      <c r="C127" s="2"/>
      <c r="D127" s="2"/>
      <c r="E127" s="2"/>
      <c r="F127" s="2"/>
    </row>
    <row r="128" spans="1:6" ht="24.75" customHeight="1" x14ac:dyDescent="0.25">
      <c r="B128" s="1"/>
      <c r="C128" s="2"/>
      <c r="D128" s="2"/>
      <c r="E128" s="2"/>
      <c r="F128" s="2"/>
    </row>
  </sheetData>
  <mergeCells count="5">
    <mergeCell ref="A112:F112"/>
    <mergeCell ref="A114:D114"/>
    <mergeCell ref="D1:F1"/>
    <mergeCell ref="A2:F2"/>
    <mergeCell ref="A3:F3"/>
  </mergeCells>
  <phoneticPr fontId="46" type="noConversion"/>
  <hyperlinks>
    <hyperlink ref="B118" r:id="rId1" xr:uid="{64F966E0-9F9C-4EF9-BF7C-E32A980E196C}"/>
  </hyperlinks>
  <pageMargins left="0.70866141732283472" right="0.70866141732283472" top="0.39370078740157483" bottom="0.39370078740157483" header="0" footer="0"/>
  <pageSetup scale="59" fitToHeight="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tabColor theme="6" tint="-0.249977111117893"/>
  </sheetPr>
  <dimension ref="A1:C39"/>
  <sheetViews>
    <sheetView workbookViewId="0">
      <selection activeCell="R10" sqref="R10"/>
    </sheetView>
  </sheetViews>
  <sheetFormatPr defaultColWidth="9.140625" defaultRowHeight="18" x14ac:dyDescent="0.35"/>
  <cols>
    <col min="1" max="1" width="53" style="27" customWidth="1"/>
    <col min="2" max="3" width="17.140625" style="27" customWidth="1"/>
    <col min="4" max="16384" width="9.140625" style="27"/>
  </cols>
  <sheetData>
    <row r="1" spans="1:3" x14ac:dyDescent="0.35">
      <c r="A1" s="29" t="e" cm="1">
        <f t="array" ref="A1">#REF!</f>
        <v>#REF!</v>
      </c>
    </row>
    <row r="3" spans="1:3" x14ac:dyDescent="0.35">
      <c r="A3" s="419" t="s">
        <v>422</v>
      </c>
      <c r="B3" s="419"/>
      <c r="C3" s="419"/>
    </row>
    <row r="4" spans="1:3" x14ac:dyDescent="0.35">
      <c r="A4" s="31" t="s">
        <v>515</v>
      </c>
      <c r="B4" s="32" t="e">
        <f>#REF!</f>
        <v>#REF!</v>
      </c>
      <c r="C4" s="32"/>
    </row>
    <row r="5" spans="1:3" x14ac:dyDescent="0.35">
      <c r="C5" s="33" t="s">
        <v>423</v>
      </c>
    </row>
    <row r="6" spans="1:3" ht="34.5" customHeight="1" x14ac:dyDescent="0.35">
      <c r="A6" s="34"/>
      <c r="B6" s="35" t="s">
        <v>517</v>
      </c>
      <c r="C6" s="36" t="s">
        <v>518</v>
      </c>
    </row>
    <row r="7" spans="1:3" x14ac:dyDescent="0.35">
      <c r="A7" s="37" t="s">
        <v>330</v>
      </c>
      <c r="B7" s="38"/>
      <c r="C7" s="39"/>
    </row>
    <row r="8" spans="1:3" x14ac:dyDescent="0.35">
      <c r="A8" s="40" t="s">
        <v>331</v>
      </c>
      <c r="B8" s="41">
        <f>'Баланс UDC'!C9</f>
        <v>76532</v>
      </c>
      <c r="C8" s="41">
        <f>'Баланс UDC'!D9</f>
        <v>14621</v>
      </c>
    </row>
    <row r="9" spans="1:3" x14ac:dyDescent="0.35">
      <c r="A9" s="40" t="s">
        <v>332</v>
      </c>
      <c r="B9" s="41">
        <f>'Баланс UDC'!C17</f>
        <v>283448</v>
      </c>
      <c r="C9" s="41">
        <f>'Баланс UDC'!D17</f>
        <v>144210</v>
      </c>
    </row>
    <row r="10" spans="1:3" ht="45" x14ac:dyDescent="0.35">
      <c r="A10" s="42" t="s">
        <v>333</v>
      </c>
      <c r="B10" s="41">
        <f>'Баланс UDC'!C20</f>
        <v>349391</v>
      </c>
      <c r="C10" s="41">
        <f>'Баланс UDC'!D20</f>
        <v>338320</v>
      </c>
    </row>
    <row r="11" spans="1:3" ht="45" x14ac:dyDescent="0.35">
      <c r="A11" s="42" t="s">
        <v>334</v>
      </c>
      <c r="B11" s="41">
        <f>'Баланс UDC'!C23</f>
        <v>94305</v>
      </c>
      <c r="C11" s="41">
        <f>'Баланс UDC'!D23</f>
        <v>198301</v>
      </c>
    </row>
    <row r="12" spans="1:3" ht="45" x14ac:dyDescent="0.35">
      <c r="A12" s="125" t="s">
        <v>546</v>
      </c>
      <c r="B12" s="41">
        <f>'Баланс UDC'!C26</f>
        <v>321662</v>
      </c>
      <c r="C12" s="41">
        <f>'Баланс UDC'!D26</f>
        <v>442656</v>
      </c>
    </row>
    <row r="13" spans="1:3" x14ac:dyDescent="0.35">
      <c r="A13" s="40" t="s">
        <v>22</v>
      </c>
      <c r="B13" s="41">
        <f>'Баланс UDC'!C36+'Баланс UDC'!C37</f>
        <v>122899</v>
      </c>
      <c r="C13" s="41">
        <f>'Баланс UDC'!D36+'Баланс UDC'!D37</f>
        <v>75234</v>
      </c>
    </row>
    <row r="14" spans="1:3" x14ac:dyDescent="0.35">
      <c r="A14" s="40" t="s">
        <v>29</v>
      </c>
      <c r="B14" s="41">
        <f>'Баланс UDC'!C31</f>
        <v>36</v>
      </c>
      <c r="C14" s="41">
        <f>'Баланс UDC'!D31</f>
        <v>93</v>
      </c>
    </row>
    <row r="15" spans="1:3" x14ac:dyDescent="0.35">
      <c r="A15" s="40" t="s">
        <v>335</v>
      </c>
      <c r="B15" s="41">
        <f>'Баланс UDC'!C58+'Баланс UDC'!C59+'Баланс UDC'!C56</f>
        <v>6535</v>
      </c>
      <c r="C15" s="41">
        <f>'Баланс UDC'!D58+'Баланс UDC'!D59+'Баланс UDC'!D56</f>
        <v>15038</v>
      </c>
    </row>
    <row r="16" spans="1:3" x14ac:dyDescent="0.35">
      <c r="A16" s="40" t="s">
        <v>336</v>
      </c>
      <c r="B16" s="41">
        <f>'Баланс UDC'!C33</f>
        <v>12658</v>
      </c>
      <c r="C16" s="41">
        <f>'Баланс UDC'!D33</f>
        <v>12958</v>
      </c>
    </row>
    <row r="17" spans="1:3" x14ac:dyDescent="0.35">
      <c r="A17" s="40" t="s">
        <v>337</v>
      </c>
      <c r="B17" s="41">
        <f>'Баланс UDC'!C34</f>
        <v>5259</v>
      </c>
      <c r="C17" s="41">
        <f>'Баланс UDC'!D34</f>
        <v>5812</v>
      </c>
    </row>
    <row r="18" spans="1:3" x14ac:dyDescent="0.35">
      <c r="A18" s="37" t="s">
        <v>338</v>
      </c>
      <c r="B18" s="43">
        <f>SUM(B8:B17)</f>
        <v>1272725</v>
      </c>
      <c r="C18" s="43">
        <f>SUM(C8:C17)</f>
        <v>1247243</v>
      </c>
    </row>
    <row r="19" spans="1:3" x14ac:dyDescent="0.35">
      <c r="A19" s="34"/>
      <c r="B19" s="41"/>
      <c r="C19" s="39"/>
    </row>
    <row r="20" spans="1:3" x14ac:dyDescent="0.35">
      <c r="A20" s="37" t="s">
        <v>35</v>
      </c>
      <c r="B20" s="41"/>
      <c r="C20" s="39"/>
    </row>
    <row r="21" spans="1:3" x14ac:dyDescent="0.35">
      <c r="A21" s="40" t="s">
        <v>38</v>
      </c>
      <c r="B21" s="41">
        <f>'Баланс UDC'!C68+'Баланс UDC'!C69</f>
        <v>24095</v>
      </c>
      <c r="C21" s="41">
        <f>'Баланс UDC'!D68+'Баланс UDC'!D69</f>
        <v>11450</v>
      </c>
    </row>
    <row r="22" spans="1:3" x14ac:dyDescent="0.35">
      <c r="A22" s="42" t="s">
        <v>339</v>
      </c>
      <c r="B22" s="41">
        <f>'Баланс UDC'!C66</f>
        <v>12514</v>
      </c>
      <c r="C22" s="41">
        <f>'Баланс UDC'!D66</f>
        <v>9545</v>
      </c>
    </row>
    <row r="23" spans="1:3" x14ac:dyDescent="0.35">
      <c r="A23" s="40" t="s">
        <v>340</v>
      </c>
      <c r="B23" s="41">
        <f>'Баланс UDC'!C88+'Баланс UDC'!C90+'Баланс UDC'!C91+'Баланс UDC'!C93</f>
        <v>6846</v>
      </c>
      <c r="C23" s="41">
        <f>'Баланс UDC'!D88+'Баланс UDC'!D90+'Баланс UDC'!D91+'Баланс UDC'!D93</f>
        <v>10446</v>
      </c>
    </row>
    <row r="24" spans="1:3" x14ac:dyDescent="0.35">
      <c r="A24" s="37" t="s">
        <v>341</v>
      </c>
      <c r="B24" s="43">
        <f>SUM(B21:B23)</f>
        <v>43455</v>
      </c>
      <c r="C24" s="43">
        <f>SUM(C21:C23)</f>
        <v>31441</v>
      </c>
    </row>
    <row r="25" spans="1:3" x14ac:dyDescent="0.35">
      <c r="A25" s="34"/>
      <c r="B25" s="41"/>
      <c r="C25" s="39"/>
    </row>
    <row r="26" spans="1:3" x14ac:dyDescent="0.35">
      <c r="A26" s="37" t="s">
        <v>342</v>
      </c>
      <c r="B26" s="41"/>
      <c r="C26" s="39"/>
    </row>
    <row r="27" spans="1:3" x14ac:dyDescent="0.35">
      <c r="A27" s="40" t="s">
        <v>343</v>
      </c>
      <c r="B27" s="41">
        <f>'Баланс UDC'!C96</f>
        <v>1225200</v>
      </c>
      <c r="C27" s="41">
        <f>'Баланс UDC'!D96</f>
        <v>1225200</v>
      </c>
    </row>
    <row r="28" spans="1:3" x14ac:dyDescent="0.35">
      <c r="A28" s="42" t="s">
        <v>344</v>
      </c>
      <c r="B28" s="41">
        <v>0</v>
      </c>
      <c r="C28" s="41">
        <v>0</v>
      </c>
    </row>
    <row r="29" spans="1:3" ht="45" x14ac:dyDescent="0.35">
      <c r="A29" s="42" t="s">
        <v>345</v>
      </c>
      <c r="B29" s="41">
        <f>'Баланс UDC'!C102</f>
        <v>0</v>
      </c>
      <c r="C29" s="41">
        <f>'Баланс UDC'!D102</f>
        <v>0</v>
      </c>
    </row>
    <row r="30" spans="1:3" x14ac:dyDescent="0.35">
      <c r="A30" s="40" t="s">
        <v>420</v>
      </c>
      <c r="B30" s="41">
        <f>'Баланс UDC'!C107</f>
        <v>66898</v>
      </c>
      <c r="C30" s="41">
        <f>'Баланс UDC'!D107</f>
        <v>60802</v>
      </c>
    </row>
    <row r="31" spans="1:3" x14ac:dyDescent="0.35">
      <c r="A31" s="37" t="s">
        <v>347</v>
      </c>
      <c r="B31" s="43">
        <f>SUM(B27:B30)</f>
        <v>1292098</v>
      </c>
      <c r="C31" s="43">
        <f>SUM(C27:C30)</f>
        <v>1286002</v>
      </c>
    </row>
    <row r="32" spans="1:3" x14ac:dyDescent="0.35">
      <c r="A32" s="37" t="s">
        <v>348</v>
      </c>
      <c r="B32" s="43">
        <f>B31+B24</f>
        <v>1335553</v>
      </c>
      <c r="C32" s="43">
        <f>C31+C24</f>
        <v>1317443</v>
      </c>
    </row>
    <row r="34" spans="1:3" x14ac:dyDescent="0.35">
      <c r="A34" s="44"/>
    </row>
    <row r="35" spans="1:3" x14ac:dyDescent="0.35">
      <c r="A35" s="44" t="s">
        <v>424</v>
      </c>
      <c r="B35" s="420" t="s">
        <v>425</v>
      </c>
      <c r="C35" s="420"/>
    </row>
    <row r="36" spans="1:3" x14ac:dyDescent="0.35">
      <c r="A36" s="32" t="s">
        <v>494</v>
      </c>
      <c r="B36" s="32" t="s">
        <v>328</v>
      </c>
    </row>
    <row r="37" spans="1:3" x14ac:dyDescent="0.35">
      <c r="A37" s="45" t="s">
        <v>426</v>
      </c>
      <c r="B37" s="421" t="s">
        <v>282</v>
      </c>
      <c r="C37" s="421"/>
    </row>
    <row r="38" spans="1:3" x14ac:dyDescent="0.35">
      <c r="A38" s="46"/>
    </row>
    <row r="39" spans="1:3" x14ac:dyDescent="0.35">
      <c r="A39" s="261" t="s">
        <v>427</v>
      </c>
    </row>
  </sheetData>
  <mergeCells count="3">
    <mergeCell ref="A3:C3"/>
    <mergeCell ref="B35:C35"/>
    <mergeCell ref="B37:C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tabColor theme="6" tint="-0.249977111117893"/>
    <pageSetUpPr fitToPage="1"/>
  </sheetPr>
  <dimension ref="A1:E40"/>
  <sheetViews>
    <sheetView workbookViewId="0">
      <selection activeCell="B10" sqref="B10"/>
    </sheetView>
  </sheetViews>
  <sheetFormatPr defaultColWidth="9.140625" defaultRowHeight="18" x14ac:dyDescent="0.35"/>
  <cols>
    <col min="1" max="1" width="48.28515625" style="27" customWidth="1"/>
    <col min="2" max="3" width="18.85546875" style="27" customWidth="1"/>
    <col min="4" max="6" width="9.140625" style="27"/>
    <col min="7" max="7" width="13.5703125" style="27" customWidth="1"/>
    <col min="8" max="8" width="19" style="27" customWidth="1"/>
    <col min="9" max="16384" width="9.140625" style="27"/>
  </cols>
  <sheetData>
    <row r="1" spans="1:3" ht="18.75" x14ac:dyDescent="0.35">
      <c r="A1" s="75" t="e">
        <f>ОФП!A1</f>
        <v>#REF!</v>
      </c>
    </row>
    <row r="3" spans="1:3" ht="29.25" customHeight="1" x14ac:dyDescent="0.35">
      <c r="A3" s="419" t="s">
        <v>428</v>
      </c>
      <c r="B3" s="419"/>
      <c r="C3" s="419"/>
    </row>
    <row r="4" spans="1:3" x14ac:dyDescent="0.35">
      <c r="A4" s="419" t="s">
        <v>658</v>
      </c>
      <c r="B4" s="419"/>
      <c r="C4" s="419"/>
    </row>
    <row r="5" spans="1:3" x14ac:dyDescent="0.35">
      <c r="C5" s="33" t="s">
        <v>423</v>
      </c>
    </row>
    <row r="6" spans="1:3" x14ac:dyDescent="0.35">
      <c r="A6" s="423" t="s">
        <v>436</v>
      </c>
      <c r="B6" s="422" t="s">
        <v>519</v>
      </c>
      <c r="C6" s="422"/>
    </row>
    <row r="7" spans="1:3" x14ac:dyDescent="0.35">
      <c r="A7" s="424"/>
      <c r="B7" s="35" t="s">
        <v>657</v>
      </c>
      <c r="C7" s="35" t="s">
        <v>520</v>
      </c>
    </row>
    <row r="8" spans="1:3" x14ac:dyDescent="0.35">
      <c r="A8" s="40" t="s">
        <v>349</v>
      </c>
      <c r="B8" s="41">
        <f>'ОПУ UDC'!D26</f>
        <v>215228</v>
      </c>
      <c r="C8" s="41">
        <f>'ОПУ UDC'!F26</f>
        <v>70587</v>
      </c>
    </row>
    <row r="9" spans="1:3" x14ac:dyDescent="0.35">
      <c r="A9" s="40" t="s">
        <v>350</v>
      </c>
      <c r="B9" s="41">
        <f>'ОПУ UDC'!D11-B10</f>
        <v>59495</v>
      </c>
      <c r="C9" s="41">
        <f>'ОПУ UDC'!F8-C10</f>
        <v>118778</v>
      </c>
    </row>
    <row r="10" spans="1:3" x14ac:dyDescent="0.35">
      <c r="A10" s="40" t="s">
        <v>307</v>
      </c>
      <c r="B10" s="41">
        <f>'ОПУ UDC'!D15+'ОПУ UDC'!D19</f>
        <v>683</v>
      </c>
      <c r="C10" s="41">
        <f>'ОПУ UDC'!F15+'ОПУ UDC'!F19</f>
        <v>0</v>
      </c>
    </row>
    <row r="11" spans="1:3" ht="60" x14ac:dyDescent="0.35">
      <c r="A11" s="40" t="s">
        <v>351</v>
      </c>
      <c r="B11" s="41">
        <f>'ОПУ UDC'!D41-'ОПУ UDC'!D78</f>
        <v>-2715</v>
      </c>
      <c r="C11" s="41">
        <f>'ОПУ UDC'!E41-'ОПУ UDC'!E78</f>
        <v>-4092</v>
      </c>
    </row>
    <row r="12" spans="1:3" ht="60" x14ac:dyDescent="0.35">
      <c r="A12" s="40" t="s">
        <v>352</v>
      </c>
      <c r="B12" s="41">
        <f>'ОПУ UDC'!D40-'ОПУ UDC'!D77</f>
        <v>5386</v>
      </c>
      <c r="C12" s="41">
        <f>'ОПУ UDC'!E40-'ОПУ UDC'!E77</f>
        <v>0</v>
      </c>
    </row>
    <row r="13" spans="1:3" x14ac:dyDescent="0.35">
      <c r="A13" s="40" t="s">
        <v>353</v>
      </c>
      <c r="B13" s="41">
        <f>'ОПУ UDC'!D24</f>
        <v>18329</v>
      </c>
      <c r="C13" s="41">
        <f>'ОПУ UDC'!E24</f>
        <v>19088</v>
      </c>
    </row>
    <row r="14" spans="1:3" ht="30" x14ac:dyDescent="0.35">
      <c r="A14" s="40" t="s">
        <v>354</v>
      </c>
      <c r="B14" s="41">
        <f>'ОПУ UDC'!D43-'ОПУ UDC'!D80</f>
        <v>24025</v>
      </c>
      <c r="C14" s="41">
        <f>'ОПУ UDC'!E43-'ОПУ UDC'!E80</f>
        <v>772</v>
      </c>
    </row>
    <row r="15" spans="1:3" x14ac:dyDescent="0.35">
      <c r="A15" s="40" t="s">
        <v>355</v>
      </c>
      <c r="B15" s="41"/>
      <c r="C15" s="41"/>
    </row>
    <row r="16" spans="1:3" x14ac:dyDescent="0.35">
      <c r="A16" s="40" t="s">
        <v>356</v>
      </c>
      <c r="B16" s="41">
        <f>'ОПУ UDC'!D53</f>
        <v>0</v>
      </c>
      <c r="C16" s="41">
        <f>'ОПУ UDC'!F53</f>
        <v>0</v>
      </c>
    </row>
    <row r="17" spans="1:5" x14ac:dyDescent="0.35">
      <c r="A17" s="37" t="s">
        <v>357</v>
      </c>
      <c r="B17" s="43">
        <f>SUM(B8:B16)</f>
        <v>320431</v>
      </c>
      <c r="C17" s="43">
        <f>SUM(C8:C16)</f>
        <v>205133</v>
      </c>
    </row>
    <row r="18" spans="1:5" x14ac:dyDescent="0.35">
      <c r="A18" s="40" t="s">
        <v>358</v>
      </c>
      <c r="B18" s="41">
        <f>-'ОПУ UDC'!D62</f>
        <v>-56919</v>
      </c>
      <c r="C18" s="41">
        <f>-'ОПУ UDC'!F62</f>
        <v>-7768</v>
      </c>
    </row>
    <row r="19" spans="1:5" x14ac:dyDescent="0.35">
      <c r="A19" s="40" t="s">
        <v>323</v>
      </c>
      <c r="B19" s="41">
        <f>-'ОПУ UDC'!D91+1</f>
        <v>-192737</v>
      </c>
      <c r="C19" s="41">
        <f>-'ОПУ UDC'!F92</f>
        <v>0</v>
      </c>
      <c r="E19" s="30"/>
    </row>
    <row r="20" spans="1:5" x14ac:dyDescent="0.35">
      <c r="A20" s="40" t="s">
        <v>76</v>
      </c>
      <c r="B20" s="41">
        <f>-('ОПУ UDC'!D79+'ОПУ UDC'!D90)</f>
        <v>-2544</v>
      </c>
      <c r="C20" s="41">
        <f>-('ОПУ UDC'!F80+'ОПУ UDC'!F91)</f>
        <v>-125707</v>
      </c>
    </row>
    <row r="21" spans="1:5" x14ac:dyDescent="0.35">
      <c r="A21" s="37" t="s">
        <v>359</v>
      </c>
      <c r="B21" s="43">
        <f>SUM(B18:B20)</f>
        <v>-252200</v>
      </c>
      <c r="C21" s="43">
        <f>SUM(C18:C20)</f>
        <v>-133475</v>
      </c>
    </row>
    <row r="22" spans="1:5" x14ac:dyDescent="0.35">
      <c r="A22" s="49" t="s">
        <v>360</v>
      </c>
      <c r="B22" s="43">
        <f>B17+B21</f>
        <v>68231</v>
      </c>
      <c r="C22" s="43">
        <f>C17+C21</f>
        <v>71658</v>
      </c>
    </row>
    <row r="23" spans="1:5" x14ac:dyDescent="0.35">
      <c r="A23" s="40" t="s">
        <v>361</v>
      </c>
      <c r="B23" s="41">
        <f>-'ОПУ UDC'!D104</f>
        <v>-2069</v>
      </c>
      <c r="C23" s="41">
        <f>-'ОПУ UDC'!F105</f>
        <v>0</v>
      </c>
    </row>
    <row r="24" spans="1:5" x14ac:dyDescent="0.35">
      <c r="A24" s="37" t="s">
        <v>362</v>
      </c>
      <c r="B24" s="43">
        <f>B22+B23</f>
        <v>66162</v>
      </c>
      <c r="C24" s="43">
        <f>C22+C23</f>
        <v>71658</v>
      </c>
    </row>
    <row r="25" spans="1:5" x14ac:dyDescent="0.35">
      <c r="A25" s="50" t="s">
        <v>363</v>
      </c>
      <c r="B25" s="41"/>
      <c r="C25" s="41"/>
    </row>
    <row r="26" spans="1:5" ht="45" x14ac:dyDescent="0.35">
      <c r="A26" s="51" t="s">
        <v>364</v>
      </c>
      <c r="B26" s="41"/>
      <c r="C26" s="41"/>
    </row>
    <row r="27" spans="1:5" ht="60" x14ac:dyDescent="0.35">
      <c r="A27" s="52" t="s">
        <v>365</v>
      </c>
      <c r="B27" s="41">
        <v>0</v>
      </c>
      <c r="C27" s="41">
        <v>0</v>
      </c>
    </row>
    <row r="28" spans="1:5" ht="75" x14ac:dyDescent="0.35">
      <c r="A28" s="52" t="s">
        <v>366</v>
      </c>
      <c r="B28" s="41" t="e">
        <f>ROUND('ОПУ UDC'!#REF!/1000,0)</f>
        <v>#REF!</v>
      </c>
      <c r="C28" s="41">
        <v>0</v>
      </c>
    </row>
    <row r="29" spans="1:5" ht="60" x14ac:dyDescent="0.35">
      <c r="A29" s="37" t="s">
        <v>367</v>
      </c>
      <c r="B29" s="43" t="e">
        <f>SUM(B26:B28)</f>
        <v>#REF!</v>
      </c>
      <c r="C29" s="43">
        <f>SUM(C26:C28)</f>
        <v>0</v>
      </c>
    </row>
    <row r="30" spans="1:5" ht="45" x14ac:dyDescent="0.35">
      <c r="A30" s="53" t="s">
        <v>368</v>
      </c>
      <c r="B30" s="41"/>
      <c r="C30" s="41"/>
    </row>
    <row r="31" spans="1:5" ht="60" x14ac:dyDescent="0.35">
      <c r="A31" s="37" t="s">
        <v>369</v>
      </c>
      <c r="B31" s="43" t="e">
        <f>B29+B30</f>
        <v>#REF!</v>
      </c>
      <c r="C31" s="43">
        <f>C29+C30</f>
        <v>0</v>
      </c>
    </row>
    <row r="32" spans="1:5" x14ac:dyDescent="0.35">
      <c r="A32" s="37" t="s">
        <v>370</v>
      </c>
      <c r="B32" s="43"/>
      <c r="C32" s="43"/>
    </row>
    <row r="33" spans="1:3" ht="30" x14ac:dyDescent="0.35">
      <c r="A33" s="37" t="s">
        <v>371</v>
      </c>
      <c r="B33" s="43" t="e">
        <f>B24+B31+B32</f>
        <v>#REF!</v>
      </c>
      <c r="C33" s="43">
        <f>C24+C31+C32</f>
        <v>71658</v>
      </c>
    </row>
    <row r="34" spans="1:3" x14ac:dyDescent="0.35">
      <c r="A34" s="50" t="s">
        <v>372</v>
      </c>
      <c r="B34" s="54">
        <f>B24/300</f>
        <v>220.54</v>
      </c>
      <c r="C34" s="54">
        <f>C24/300</f>
        <v>238.86</v>
      </c>
    </row>
    <row r="35" spans="1:3" x14ac:dyDescent="0.35">
      <c r="B35" s="30"/>
    </row>
    <row r="36" spans="1:3" x14ac:dyDescent="0.35">
      <c r="A36" s="44" t="s">
        <v>424</v>
      </c>
      <c r="B36" s="420" t="s">
        <v>425</v>
      </c>
      <c r="C36" s="420"/>
    </row>
    <row r="37" spans="1:3" x14ac:dyDescent="0.35">
      <c r="A37" s="32" t="str">
        <f>ОФП!A36</f>
        <v>Елешев Е.С.</v>
      </c>
      <c r="B37" s="32" t="s">
        <v>328</v>
      </c>
    </row>
    <row r="38" spans="1:3" x14ac:dyDescent="0.35">
      <c r="A38" s="45" t="s">
        <v>426</v>
      </c>
      <c r="B38" s="421" t="s">
        <v>282</v>
      </c>
      <c r="C38" s="421"/>
    </row>
    <row r="39" spans="1:3" x14ac:dyDescent="0.35">
      <c r="A39" s="46"/>
    </row>
    <row r="40" spans="1:3" x14ac:dyDescent="0.35">
      <c r="A40" s="46" t="s">
        <v>427</v>
      </c>
    </row>
  </sheetData>
  <mergeCells count="6">
    <mergeCell ref="A4:C4"/>
    <mergeCell ref="B36:C36"/>
    <mergeCell ref="B38:C38"/>
    <mergeCell ref="A3:C3"/>
    <mergeCell ref="B6:C6"/>
    <mergeCell ref="A6:A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tabColor theme="6" tint="-0.249977111117893"/>
    <pageSetUpPr fitToPage="1"/>
  </sheetPr>
  <dimension ref="A1:F18"/>
  <sheetViews>
    <sheetView workbookViewId="0">
      <selection activeCell="R10" sqref="R10"/>
    </sheetView>
  </sheetViews>
  <sheetFormatPr defaultColWidth="9.140625" defaultRowHeight="18" x14ac:dyDescent="0.35"/>
  <cols>
    <col min="1" max="1" width="34.7109375" style="27" customWidth="1"/>
    <col min="2" max="2" width="17.140625" style="27" customWidth="1"/>
    <col min="3" max="3" width="18" style="27" customWidth="1"/>
    <col min="4" max="4" width="18.28515625" style="27" bestFit="1" customWidth="1"/>
    <col min="5" max="5" width="12.140625" style="27" bestFit="1" customWidth="1"/>
    <col min="6" max="6" width="12" style="27" customWidth="1"/>
    <col min="7" max="16384" width="9.140625" style="27"/>
  </cols>
  <sheetData>
    <row r="1" spans="1:6" ht="18.75" x14ac:dyDescent="0.35">
      <c r="A1" s="75" t="e">
        <f>ОФП!A1</f>
        <v>#REF!</v>
      </c>
    </row>
    <row r="3" spans="1:6" x14ac:dyDescent="0.35">
      <c r="A3" s="419" t="s">
        <v>373</v>
      </c>
      <c r="B3" s="419"/>
      <c r="C3" s="419"/>
      <c r="D3" s="419"/>
      <c r="E3" s="419"/>
      <c r="F3" s="419"/>
    </row>
    <row r="4" spans="1:6" x14ac:dyDescent="0.35">
      <c r="A4" s="419" t="str">
        <f>'ОПУ и ПСД'!A4:C4</f>
        <v>за год, закончившийся 31 Декабря 2023</v>
      </c>
      <c r="B4" s="419"/>
      <c r="C4" s="419"/>
      <c r="D4" s="419"/>
      <c r="E4" s="419"/>
      <c r="F4" s="419"/>
    </row>
    <row r="5" spans="1:6" x14ac:dyDescent="0.35">
      <c r="A5" s="55"/>
      <c r="F5" s="33" t="s">
        <v>423</v>
      </c>
    </row>
    <row r="6" spans="1:6" ht="128.25" customHeight="1" x14ac:dyDescent="0.35">
      <c r="A6" s="56"/>
      <c r="B6" s="57" t="s">
        <v>343</v>
      </c>
      <c r="C6" s="58" t="s">
        <v>344</v>
      </c>
      <c r="D6" s="57" t="s">
        <v>345</v>
      </c>
      <c r="E6" s="58" t="s">
        <v>346</v>
      </c>
      <c r="F6" s="58" t="s">
        <v>10</v>
      </c>
    </row>
    <row r="7" spans="1:6" ht="15" customHeight="1" x14ac:dyDescent="0.35">
      <c r="A7" s="49" t="s">
        <v>521</v>
      </c>
      <c r="B7" s="43">
        <f>'Баланс UDC'!C96</f>
        <v>1225200</v>
      </c>
      <c r="C7" s="43"/>
      <c r="D7" s="43"/>
      <c r="E7" s="43"/>
      <c r="F7" s="43">
        <f t="shared" ref="F7:F11" si="0">SUM(B7:E7)</f>
        <v>1225200</v>
      </c>
    </row>
    <row r="8" spans="1:6" ht="15" customHeight="1" x14ac:dyDescent="0.35">
      <c r="A8" s="42" t="s">
        <v>374</v>
      </c>
      <c r="B8" s="41"/>
      <c r="C8" s="41"/>
      <c r="D8" s="41"/>
      <c r="E8" s="41">
        <f>'Баланс UDC'!C107</f>
        <v>66898</v>
      </c>
      <c r="F8" s="43">
        <f t="shared" si="0"/>
        <v>66898</v>
      </c>
    </row>
    <row r="9" spans="1:6" ht="26.25" customHeight="1" x14ac:dyDescent="0.35">
      <c r="A9" s="42" t="s">
        <v>375</v>
      </c>
      <c r="B9" s="41"/>
      <c r="C9" s="41"/>
      <c r="D9" s="41"/>
      <c r="E9" s="41"/>
      <c r="F9" s="43">
        <f t="shared" si="0"/>
        <v>0</v>
      </c>
    </row>
    <row r="10" spans="1:6" ht="30" x14ac:dyDescent="0.35">
      <c r="A10" s="42" t="s">
        <v>421</v>
      </c>
      <c r="B10" s="41"/>
      <c r="C10" s="41"/>
      <c r="D10" s="41"/>
      <c r="E10" s="41"/>
      <c r="F10" s="43">
        <f t="shared" si="0"/>
        <v>0</v>
      </c>
    </row>
    <row r="11" spans="1:6" ht="15" customHeight="1" x14ac:dyDescent="0.35">
      <c r="A11" s="49" t="s">
        <v>522</v>
      </c>
      <c r="B11" s="43">
        <f>SUM(B7:B10)</f>
        <v>1225200</v>
      </c>
      <c r="C11" s="43">
        <f>SUM(C7:C10)</f>
        <v>0</v>
      </c>
      <c r="D11" s="43">
        <f>SUM(D7:D10)</f>
        <v>0</v>
      </c>
      <c r="E11" s="43">
        <f>SUM(E7:E10)</f>
        <v>66898</v>
      </c>
      <c r="F11" s="43">
        <f t="shared" si="0"/>
        <v>1292098</v>
      </c>
    </row>
    <row r="12" spans="1:6" ht="15" customHeight="1" x14ac:dyDescent="0.35">
      <c r="A12" s="59"/>
    </row>
    <row r="13" spans="1:6" ht="15" customHeight="1" x14ac:dyDescent="0.35">
      <c r="A13" s="45"/>
    </row>
    <row r="14" spans="1:6" ht="15.75" customHeight="1" x14ac:dyDescent="0.35">
      <c r="A14" s="60"/>
      <c r="D14" s="425"/>
      <c r="E14" s="425"/>
    </row>
    <row r="15" spans="1:6" ht="15" customHeight="1" x14ac:dyDescent="0.35">
      <c r="A15" s="32" t="str">
        <f>ОФП!A36</f>
        <v>Елешев Е.С.</v>
      </c>
      <c r="D15" s="32" t="s">
        <v>328</v>
      </c>
    </row>
    <row r="16" spans="1:6" ht="15" customHeight="1" x14ac:dyDescent="0.35">
      <c r="A16" s="45" t="s">
        <v>426</v>
      </c>
      <c r="D16" s="421" t="s">
        <v>282</v>
      </c>
      <c r="E16" s="421"/>
    </row>
    <row r="17" spans="1:1" ht="15" customHeight="1" x14ac:dyDescent="0.35">
      <c r="A17" s="46"/>
    </row>
    <row r="18" spans="1:1" ht="15" customHeight="1" x14ac:dyDescent="0.35">
      <c r="A18" s="46" t="s">
        <v>427</v>
      </c>
    </row>
  </sheetData>
  <mergeCells count="4">
    <mergeCell ref="A3:F3"/>
    <mergeCell ref="A4:F4"/>
    <mergeCell ref="D14:E14"/>
    <mergeCell ref="D16:E1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FB72E-CC9B-4D7C-B483-D907F082E568}">
  <dimension ref="A1:G133"/>
  <sheetViews>
    <sheetView workbookViewId="0">
      <selection activeCell="A10" sqref="A10"/>
    </sheetView>
  </sheetViews>
  <sheetFormatPr defaultRowHeight="15" x14ac:dyDescent="0.25"/>
  <cols>
    <col min="1" max="1" width="72.140625" customWidth="1"/>
    <col min="3" max="4" width="14" customWidth="1"/>
  </cols>
  <sheetData>
    <row r="1" spans="1:7" ht="18.75" x14ac:dyDescent="0.35">
      <c r="A1" s="426" t="e">
        <f>ОФП!A1</f>
        <v>#REF!</v>
      </c>
      <c r="B1" s="426"/>
      <c r="C1" s="426"/>
      <c r="D1" s="426"/>
      <c r="E1" s="325"/>
      <c r="F1" s="325"/>
      <c r="G1" s="292"/>
    </row>
    <row r="2" spans="1:7" ht="8.25" customHeight="1" x14ac:dyDescent="0.3">
      <c r="A2" s="47"/>
      <c r="B2" s="292"/>
      <c r="C2" s="292"/>
      <c r="D2" s="292"/>
      <c r="E2" s="292"/>
      <c r="F2" s="292"/>
      <c r="G2" s="292"/>
    </row>
    <row r="3" spans="1:7" ht="18" x14ac:dyDescent="0.25">
      <c r="A3" s="419" t="s">
        <v>376</v>
      </c>
      <c r="B3" s="419"/>
      <c r="C3" s="419"/>
      <c r="D3" s="419"/>
      <c r="E3" s="326"/>
      <c r="F3" s="326"/>
      <c r="G3" s="292"/>
    </row>
    <row r="4" spans="1:7" ht="18" x14ac:dyDescent="0.25">
      <c r="A4" s="419" t="s">
        <v>709</v>
      </c>
      <c r="B4" s="419"/>
      <c r="C4" s="419"/>
      <c r="D4" s="419"/>
      <c r="E4" s="292"/>
      <c r="F4" s="292"/>
      <c r="G4" s="292"/>
    </row>
    <row r="5" spans="1:7" x14ac:dyDescent="0.25">
      <c r="A5" s="427" t="s">
        <v>659</v>
      </c>
      <c r="B5" s="427"/>
      <c r="C5" s="427"/>
      <c r="D5" s="427"/>
      <c r="E5" s="311"/>
      <c r="F5" s="311"/>
      <c r="G5" s="311"/>
    </row>
    <row r="6" spans="1:7" x14ac:dyDescent="0.25">
      <c r="A6" s="292"/>
      <c r="B6" s="292"/>
      <c r="D6" s="294" t="s">
        <v>578</v>
      </c>
      <c r="E6" s="292"/>
      <c r="F6" s="292"/>
      <c r="G6" s="292"/>
    </row>
    <row r="7" spans="1:7" ht="24" x14ac:dyDescent="0.25">
      <c r="A7" s="324" t="s">
        <v>579</v>
      </c>
      <c r="B7" s="295" t="s">
        <v>580</v>
      </c>
      <c r="C7" s="295" t="s">
        <v>54</v>
      </c>
      <c r="D7" s="295" t="s">
        <v>707</v>
      </c>
      <c r="E7" s="292"/>
      <c r="F7" s="292"/>
      <c r="G7" s="292"/>
    </row>
    <row r="8" spans="1:7" x14ac:dyDescent="0.25">
      <c r="A8" s="312" t="s">
        <v>84</v>
      </c>
      <c r="B8" s="296" t="s">
        <v>87</v>
      </c>
      <c r="C8" s="296" t="s">
        <v>88</v>
      </c>
      <c r="D8" s="296" t="s">
        <v>21</v>
      </c>
      <c r="E8" s="292"/>
      <c r="F8" s="292"/>
      <c r="G8" s="292"/>
    </row>
    <row r="9" spans="1:7" x14ac:dyDescent="0.25">
      <c r="A9" s="320" t="s">
        <v>581</v>
      </c>
      <c r="B9" s="320"/>
      <c r="C9" s="320"/>
      <c r="D9" s="320"/>
      <c r="E9" s="292"/>
      <c r="F9" s="292"/>
      <c r="G9" s="292"/>
    </row>
    <row r="10" spans="1:7" x14ac:dyDescent="0.25">
      <c r="A10" s="321" t="s">
        <v>582</v>
      </c>
      <c r="B10" s="297" t="s">
        <v>583</v>
      </c>
      <c r="C10" s="298">
        <f>SUM(C12:C17)</f>
        <v>116152079.45</v>
      </c>
      <c r="D10" s="340">
        <v>77237983.620000005</v>
      </c>
      <c r="E10" s="292"/>
      <c r="F10" s="292"/>
      <c r="G10" s="292"/>
    </row>
    <row r="11" spans="1:7" x14ac:dyDescent="0.25">
      <c r="A11" s="322" t="s">
        <v>52</v>
      </c>
      <c r="B11" s="323"/>
      <c r="C11" s="299"/>
      <c r="D11" s="341"/>
      <c r="E11" s="292"/>
      <c r="F11" s="292"/>
      <c r="G11" s="292"/>
    </row>
    <row r="12" spans="1:7" x14ac:dyDescent="0.25">
      <c r="A12" s="314" t="s">
        <v>584</v>
      </c>
      <c r="B12" s="300" t="s">
        <v>585</v>
      </c>
      <c r="C12" s="301">
        <v>117075158.68000001</v>
      </c>
      <c r="D12" s="342">
        <v>75738665.459999993</v>
      </c>
      <c r="E12" s="292"/>
      <c r="F12" s="292"/>
      <c r="G12" s="292"/>
    </row>
    <row r="13" spans="1:7" x14ac:dyDescent="0.25">
      <c r="A13" s="314" t="s">
        <v>586</v>
      </c>
      <c r="B13" s="300" t="s">
        <v>587</v>
      </c>
      <c r="C13" s="302" t="s">
        <v>82</v>
      </c>
      <c r="D13" s="343" t="s">
        <v>82</v>
      </c>
      <c r="E13" s="292"/>
      <c r="F13" s="292"/>
      <c r="G13" s="292"/>
    </row>
    <row r="14" spans="1:7" x14ac:dyDescent="0.25">
      <c r="A14" s="314" t="s">
        <v>588</v>
      </c>
      <c r="B14" s="300" t="s">
        <v>589</v>
      </c>
      <c r="C14" s="302" t="s">
        <v>82</v>
      </c>
      <c r="D14" s="343" t="s">
        <v>82</v>
      </c>
      <c r="E14" s="292"/>
      <c r="F14" s="292"/>
      <c r="G14" s="292"/>
    </row>
    <row r="15" spans="1:7" x14ac:dyDescent="0.25">
      <c r="A15" s="314" t="s">
        <v>590</v>
      </c>
      <c r="B15" s="300" t="s">
        <v>591</v>
      </c>
      <c r="C15" s="302" t="s">
        <v>82</v>
      </c>
      <c r="D15" s="343" t="s">
        <v>82</v>
      </c>
      <c r="E15" s="292"/>
      <c r="F15" s="292"/>
      <c r="G15" s="292"/>
    </row>
    <row r="16" spans="1:7" x14ac:dyDescent="0.25">
      <c r="A16" s="314" t="s">
        <v>592</v>
      </c>
      <c r="B16" s="300" t="s">
        <v>593</v>
      </c>
      <c r="C16" s="302" t="s">
        <v>82</v>
      </c>
      <c r="D16" s="343" t="s">
        <v>82</v>
      </c>
      <c r="E16" s="292"/>
      <c r="F16" s="292"/>
      <c r="G16" s="292"/>
    </row>
    <row r="17" spans="1:7" x14ac:dyDescent="0.25">
      <c r="A17" s="314" t="s">
        <v>594</v>
      </c>
      <c r="B17" s="300" t="s">
        <v>595</v>
      </c>
      <c r="C17" s="303">
        <v>-923079.23</v>
      </c>
      <c r="D17" s="342">
        <v>1499318.16</v>
      </c>
      <c r="E17" s="292"/>
      <c r="F17" s="292"/>
      <c r="G17" s="292"/>
    </row>
    <row r="18" spans="1:7" ht="15" customHeight="1" x14ac:dyDescent="0.25">
      <c r="A18" s="319" t="s">
        <v>596</v>
      </c>
      <c r="B18" s="297" t="s">
        <v>597</v>
      </c>
      <c r="C18" s="304">
        <f>SUM(C20:C26)</f>
        <v>501958685.95000005</v>
      </c>
      <c r="D18" s="304">
        <f>SUM(D20:D26)</f>
        <v>442589865.34999996</v>
      </c>
      <c r="E18" s="292"/>
      <c r="F18" s="292"/>
      <c r="G18" s="292"/>
    </row>
    <row r="19" spans="1:7" x14ac:dyDescent="0.25">
      <c r="A19" s="318" t="s">
        <v>52</v>
      </c>
      <c r="B19" s="300"/>
      <c r="C19" s="305"/>
      <c r="D19" s="344"/>
      <c r="E19" s="292"/>
      <c r="F19" s="292"/>
      <c r="G19" s="292"/>
    </row>
    <row r="20" spans="1:7" x14ac:dyDescent="0.25">
      <c r="A20" s="314" t="s">
        <v>598</v>
      </c>
      <c r="B20" s="300" t="s">
        <v>599</v>
      </c>
      <c r="C20" s="342">
        <v>281922007.85000002</v>
      </c>
      <c r="D20" s="342">
        <v>314840114.77999997</v>
      </c>
      <c r="E20" s="292"/>
      <c r="F20" s="292"/>
      <c r="G20" s="292"/>
    </row>
    <row r="21" spans="1:7" x14ac:dyDescent="0.25">
      <c r="A21" s="314" t="s">
        <v>600</v>
      </c>
      <c r="B21" s="300" t="s">
        <v>601</v>
      </c>
      <c r="C21" s="343" t="s">
        <v>82</v>
      </c>
      <c r="D21" s="343" t="s">
        <v>82</v>
      </c>
      <c r="E21" s="292"/>
      <c r="F21" s="292"/>
      <c r="G21" s="292"/>
    </row>
    <row r="22" spans="1:7" x14ac:dyDescent="0.25">
      <c r="A22" s="314" t="s">
        <v>602</v>
      </c>
      <c r="B22" s="300" t="s">
        <v>603</v>
      </c>
      <c r="C22" s="342">
        <v>109858982</v>
      </c>
      <c r="D22" s="342">
        <v>88900857.670000002</v>
      </c>
      <c r="E22" s="292"/>
      <c r="F22" s="292"/>
      <c r="G22" s="292"/>
    </row>
    <row r="23" spans="1:7" x14ac:dyDescent="0.25">
      <c r="A23" s="314" t="s">
        <v>604</v>
      </c>
      <c r="B23" s="306" t="s">
        <v>605</v>
      </c>
      <c r="C23" s="343" t="s">
        <v>82</v>
      </c>
      <c r="D23" s="343" t="s">
        <v>82</v>
      </c>
      <c r="E23" s="292" t="s">
        <v>606</v>
      </c>
      <c r="F23" s="292"/>
      <c r="G23" s="292"/>
    </row>
    <row r="24" spans="1:7" x14ac:dyDescent="0.25">
      <c r="A24" s="314" t="s">
        <v>607</v>
      </c>
      <c r="B24" s="300" t="s">
        <v>608</v>
      </c>
      <c r="C24" s="343" t="s">
        <v>82</v>
      </c>
      <c r="D24" s="343" t="s">
        <v>82</v>
      </c>
      <c r="E24" s="292"/>
      <c r="F24" s="292"/>
      <c r="G24" s="292"/>
    </row>
    <row r="25" spans="1:7" x14ac:dyDescent="0.25">
      <c r="A25" s="314" t="s">
        <v>609</v>
      </c>
      <c r="B25" s="307" t="s">
        <v>610</v>
      </c>
      <c r="C25" s="337">
        <v>53344099</v>
      </c>
      <c r="D25" s="337">
        <v>29155618</v>
      </c>
      <c r="E25" s="292"/>
      <c r="F25" s="292"/>
      <c r="G25" s="292"/>
    </row>
    <row r="26" spans="1:7" x14ac:dyDescent="0.25">
      <c r="A26" s="314" t="s">
        <v>611</v>
      </c>
      <c r="B26" s="307" t="s">
        <v>612</v>
      </c>
      <c r="C26" s="337">
        <v>56833597.100000001</v>
      </c>
      <c r="D26" s="337">
        <v>9693274.9000000004</v>
      </c>
      <c r="E26" s="292"/>
      <c r="F26" s="292"/>
      <c r="G26" s="292"/>
    </row>
    <row r="27" spans="1:7" ht="21" customHeight="1" x14ac:dyDescent="0.25">
      <c r="A27" s="319" t="s">
        <v>613</v>
      </c>
      <c r="B27" s="309" t="s">
        <v>614</v>
      </c>
      <c r="C27" s="304">
        <f>C10-C18</f>
        <v>-385806606.50000006</v>
      </c>
      <c r="D27" s="304">
        <f>D10-D18</f>
        <v>-365351881.72999996</v>
      </c>
      <c r="E27" s="292"/>
      <c r="F27" s="292"/>
      <c r="G27" s="292"/>
    </row>
    <row r="28" spans="1:7" x14ac:dyDescent="0.25">
      <c r="A28" s="320" t="s">
        <v>615</v>
      </c>
      <c r="B28" s="320"/>
      <c r="C28" s="320"/>
      <c r="D28" s="320"/>
      <c r="E28" s="292"/>
      <c r="F28" s="292"/>
      <c r="G28" s="292"/>
    </row>
    <row r="29" spans="1:7" x14ac:dyDescent="0.25">
      <c r="A29" s="321" t="s">
        <v>616</v>
      </c>
      <c r="B29" s="297" t="s">
        <v>617</v>
      </c>
      <c r="C29" s="298">
        <f>SUM(C31:C42)</f>
        <v>84447785261.670013</v>
      </c>
      <c r="D29" s="298">
        <f>SUM(D31:D42)</f>
        <v>267976360496.66</v>
      </c>
      <c r="E29" s="292"/>
      <c r="F29" s="292"/>
      <c r="G29" s="292"/>
    </row>
    <row r="30" spans="1:7" x14ac:dyDescent="0.25">
      <c r="A30" s="318" t="s">
        <v>52</v>
      </c>
      <c r="B30" s="300"/>
      <c r="C30" s="305"/>
      <c r="D30" s="305"/>
      <c r="E30" s="292"/>
      <c r="F30" s="292"/>
      <c r="G30" s="292"/>
    </row>
    <row r="31" spans="1:7" x14ac:dyDescent="0.25">
      <c r="A31" s="314" t="s">
        <v>618</v>
      </c>
      <c r="B31" s="306" t="s">
        <v>619</v>
      </c>
      <c r="C31" s="302" t="s">
        <v>82</v>
      </c>
      <c r="D31" s="302" t="s">
        <v>82</v>
      </c>
      <c r="E31" s="292"/>
      <c r="F31" s="292"/>
      <c r="G31" s="292"/>
    </row>
    <row r="32" spans="1:7" x14ac:dyDescent="0.25">
      <c r="A32" s="314" t="s">
        <v>620</v>
      </c>
      <c r="B32" s="306" t="s">
        <v>621</v>
      </c>
      <c r="C32" s="308" t="s">
        <v>82</v>
      </c>
      <c r="D32" s="308" t="s">
        <v>82</v>
      </c>
      <c r="E32" s="292"/>
      <c r="F32" s="292"/>
      <c r="G32" s="292"/>
    </row>
    <row r="33" spans="1:7" x14ac:dyDescent="0.25">
      <c r="A33" s="314" t="s">
        <v>622</v>
      </c>
      <c r="B33" s="307" t="s">
        <v>623</v>
      </c>
      <c r="C33" s="308" t="s">
        <v>82</v>
      </c>
      <c r="D33" s="308" t="s">
        <v>82</v>
      </c>
      <c r="E33" s="292"/>
      <c r="F33" s="292"/>
      <c r="G33" s="292"/>
    </row>
    <row r="34" spans="1:7" ht="29.25" customHeight="1" x14ac:dyDescent="0.25">
      <c r="A34" s="319" t="s">
        <v>624</v>
      </c>
      <c r="B34" s="300" t="s">
        <v>625</v>
      </c>
      <c r="C34" s="302" t="s">
        <v>82</v>
      </c>
      <c r="D34" s="302" t="s">
        <v>82</v>
      </c>
      <c r="E34" s="292"/>
      <c r="F34" s="292"/>
      <c r="G34" s="292"/>
    </row>
    <row r="35" spans="1:7" ht="15" customHeight="1" x14ac:dyDescent="0.25">
      <c r="A35" s="316" t="s">
        <v>626</v>
      </c>
      <c r="B35" s="307" t="s">
        <v>627</v>
      </c>
      <c r="C35" s="308" t="s">
        <v>82</v>
      </c>
      <c r="D35" s="308" t="s">
        <v>82</v>
      </c>
      <c r="E35" s="292"/>
      <c r="F35" s="292"/>
      <c r="G35" s="292"/>
    </row>
    <row r="36" spans="1:7" ht="15" customHeight="1" x14ac:dyDescent="0.25">
      <c r="A36" s="316" t="s">
        <v>628</v>
      </c>
      <c r="B36" s="307" t="s">
        <v>629</v>
      </c>
      <c r="C36" s="308" t="s">
        <v>82</v>
      </c>
      <c r="D36" s="308" t="s">
        <v>82</v>
      </c>
      <c r="E36" s="292"/>
      <c r="F36" s="292"/>
      <c r="G36" s="292"/>
    </row>
    <row r="37" spans="1:7" ht="15" customHeight="1" x14ac:dyDescent="0.25">
      <c r="A37" s="316" t="s">
        <v>630</v>
      </c>
      <c r="B37" s="307" t="s">
        <v>631</v>
      </c>
      <c r="C37" s="308" t="s">
        <v>82</v>
      </c>
      <c r="D37" s="308" t="s">
        <v>82</v>
      </c>
      <c r="E37" s="292"/>
      <c r="F37" s="292"/>
      <c r="G37" s="292"/>
    </row>
    <row r="38" spans="1:7" ht="15" customHeight="1" x14ac:dyDescent="0.25">
      <c r="A38" s="316" t="s">
        <v>632</v>
      </c>
      <c r="B38" s="307" t="s">
        <v>633</v>
      </c>
      <c r="C38" s="308" t="s">
        <v>82</v>
      </c>
      <c r="D38" s="337">
        <v>55511094.939999998</v>
      </c>
      <c r="E38" s="292"/>
      <c r="F38" s="292"/>
      <c r="G38" s="292"/>
    </row>
    <row r="39" spans="1:7" ht="15" customHeight="1" x14ac:dyDescent="0.25">
      <c r="A39" s="316" t="s">
        <v>634</v>
      </c>
      <c r="B39" s="307" t="s">
        <v>635</v>
      </c>
      <c r="C39" s="308" t="s">
        <v>82</v>
      </c>
      <c r="D39" s="338" t="s">
        <v>82</v>
      </c>
      <c r="E39" s="292"/>
      <c r="F39" s="292"/>
      <c r="G39" s="292"/>
    </row>
    <row r="40" spans="1:7" ht="15" customHeight="1" x14ac:dyDescent="0.25">
      <c r="A40" s="316" t="s">
        <v>636</v>
      </c>
      <c r="B40" s="307" t="s">
        <v>637</v>
      </c>
      <c r="C40" s="308" t="s">
        <v>82</v>
      </c>
      <c r="D40" s="338" t="s">
        <v>82</v>
      </c>
      <c r="E40" s="292"/>
      <c r="F40" s="292"/>
      <c r="G40" s="292"/>
    </row>
    <row r="41" spans="1:7" ht="15" customHeight="1" x14ac:dyDescent="0.25">
      <c r="A41" s="316" t="s">
        <v>592</v>
      </c>
      <c r="B41" s="307" t="s">
        <v>638</v>
      </c>
      <c r="C41" s="308" t="s">
        <v>82</v>
      </c>
      <c r="D41" s="338" t="s">
        <v>82</v>
      </c>
      <c r="E41" s="292"/>
      <c r="F41" s="292"/>
      <c r="G41" s="292"/>
    </row>
    <row r="42" spans="1:7" x14ac:dyDescent="0.25">
      <c r="A42" s="314" t="s">
        <v>594</v>
      </c>
      <c r="B42" s="307" t="s">
        <v>639</v>
      </c>
      <c r="C42" s="337">
        <v>84447785261.670013</v>
      </c>
      <c r="D42" s="337">
        <v>267920849401.72</v>
      </c>
      <c r="E42" s="292"/>
      <c r="F42" s="292"/>
      <c r="G42" s="292"/>
    </row>
    <row r="43" spans="1:7" x14ac:dyDescent="0.25">
      <c r="A43" s="317" t="s">
        <v>640</v>
      </c>
      <c r="B43" s="309" t="s">
        <v>641</v>
      </c>
      <c r="C43" s="304">
        <f>SUM(C45:C57)</f>
        <v>83990449077.169998</v>
      </c>
      <c r="D43" s="304">
        <f>SUM(D45:D57)</f>
        <v>268834336841</v>
      </c>
      <c r="E43" s="292"/>
      <c r="F43" s="292"/>
      <c r="G43" s="292"/>
    </row>
    <row r="44" spans="1:7" x14ac:dyDescent="0.25">
      <c r="A44" s="318" t="s">
        <v>52</v>
      </c>
      <c r="B44" s="300"/>
      <c r="C44" s="310">
        <v>0</v>
      </c>
      <c r="D44" s="310">
        <v>0</v>
      </c>
      <c r="E44" s="292"/>
      <c r="F44" s="292"/>
      <c r="G44" s="292"/>
    </row>
    <row r="45" spans="1:7" x14ac:dyDescent="0.25">
      <c r="A45" s="314" t="s">
        <v>642</v>
      </c>
      <c r="B45" s="307" t="s">
        <v>643</v>
      </c>
      <c r="C45" s="308" t="s">
        <v>82</v>
      </c>
      <c r="D45" s="308" t="s">
        <v>82</v>
      </c>
      <c r="E45" s="292"/>
      <c r="F45" s="292"/>
      <c r="G45" s="292"/>
    </row>
    <row r="46" spans="1:7" x14ac:dyDescent="0.25">
      <c r="A46" s="314" t="s">
        <v>644</v>
      </c>
      <c r="B46" s="307" t="s">
        <v>645</v>
      </c>
      <c r="C46" s="308" t="s">
        <v>82</v>
      </c>
      <c r="D46" s="308" t="s">
        <v>82</v>
      </c>
      <c r="E46" s="292"/>
      <c r="F46" s="292"/>
      <c r="G46" s="292"/>
    </row>
    <row r="47" spans="1:7" x14ac:dyDescent="0.25">
      <c r="A47" s="315" t="s">
        <v>646</v>
      </c>
      <c r="B47" s="300" t="s">
        <v>647</v>
      </c>
      <c r="C47" s="302" t="s">
        <v>82</v>
      </c>
      <c r="D47" s="302" t="s">
        <v>82</v>
      </c>
      <c r="E47" s="292"/>
      <c r="F47" s="292"/>
      <c r="G47" s="292"/>
    </row>
    <row r="48" spans="1:7" ht="15" customHeight="1" x14ac:dyDescent="0.25">
      <c r="A48" s="313" t="s">
        <v>648</v>
      </c>
      <c r="B48" s="300" t="s">
        <v>649</v>
      </c>
      <c r="C48" s="302" t="s">
        <v>82</v>
      </c>
      <c r="D48" s="302" t="s">
        <v>82</v>
      </c>
      <c r="E48" s="292"/>
      <c r="F48" s="292"/>
      <c r="G48" s="292"/>
    </row>
    <row r="49" spans="1:7" x14ac:dyDescent="0.25">
      <c r="A49" s="315" t="s">
        <v>650</v>
      </c>
      <c r="B49" s="300" t="s">
        <v>651</v>
      </c>
      <c r="C49" s="302" t="s">
        <v>82</v>
      </c>
      <c r="D49" s="302" t="s">
        <v>82</v>
      </c>
      <c r="E49" s="292"/>
      <c r="F49" s="292"/>
      <c r="G49" s="292"/>
    </row>
    <row r="50" spans="1:7" x14ac:dyDescent="0.25">
      <c r="A50" s="315" t="s">
        <v>652</v>
      </c>
      <c r="B50" s="300" t="s">
        <v>653</v>
      </c>
      <c r="C50" s="302" t="s">
        <v>82</v>
      </c>
      <c r="D50" s="302" t="s">
        <v>82</v>
      </c>
      <c r="E50" s="292"/>
      <c r="F50" s="292"/>
      <c r="G50" s="292"/>
    </row>
    <row r="51" spans="1:7" ht="15" customHeight="1" x14ac:dyDescent="0.25">
      <c r="A51" s="313" t="s">
        <v>654</v>
      </c>
      <c r="B51" s="300" t="s">
        <v>655</v>
      </c>
      <c r="C51" s="302" t="s">
        <v>82</v>
      </c>
      <c r="D51" s="302" t="s">
        <v>82</v>
      </c>
      <c r="E51" s="292"/>
      <c r="F51" s="292"/>
      <c r="G51" s="292"/>
    </row>
    <row r="52" spans="1:7" x14ac:dyDescent="0.25">
      <c r="A52" s="313" t="s">
        <v>604</v>
      </c>
      <c r="B52" s="300" t="s">
        <v>656</v>
      </c>
      <c r="C52" s="302" t="s">
        <v>82</v>
      </c>
      <c r="D52" s="302" t="s">
        <v>82</v>
      </c>
      <c r="E52" s="292"/>
      <c r="F52" s="292"/>
      <c r="G52" s="292"/>
    </row>
    <row r="53" spans="1:7" x14ac:dyDescent="0.25">
      <c r="A53" s="313" t="s">
        <v>660</v>
      </c>
      <c r="B53" s="300" t="s">
        <v>661</v>
      </c>
      <c r="C53" s="342">
        <v>507498744.97000003</v>
      </c>
      <c r="D53" s="342">
        <v>50088262</v>
      </c>
      <c r="E53" s="292"/>
      <c r="F53" s="292"/>
      <c r="G53" s="292"/>
    </row>
    <row r="54" spans="1:7" x14ac:dyDescent="0.25">
      <c r="A54" s="313" t="s">
        <v>662</v>
      </c>
      <c r="B54" s="300" t="s">
        <v>663</v>
      </c>
      <c r="C54" s="343" t="s">
        <v>82</v>
      </c>
      <c r="D54" s="343" t="s">
        <v>82</v>
      </c>
      <c r="E54" s="292"/>
      <c r="F54" s="292"/>
      <c r="G54" s="292"/>
    </row>
    <row r="55" spans="1:7" x14ac:dyDescent="0.25">
      <c r="A55" s="313" t="s">
        <v>634</v>
      </c>
      <c r="B55" s="300" t="s">
        <v>664</v>
      </c>
      <c r="C55" s="343" t="s">
        <v>82</v>
      </c>
      <c r="D55" s="343" t="s">
        <v>82</v>
      </c>
      <c r="E55" s="292"/>
      <c r="F55" s="292"/>
      <c r="G55" s="292"/>
    </row>
    <row r="56" spans="1:7" x14ac:dyDescent="0.25">
      <c r="A56" s="314" t="s">
        <v>665</v>
      </c>
      <c r="B56" s="300" t="s">
        <v>666</v>
      </c>
      <c r="C56" s="343" t="s">
        <v>82</v>
      </c>
      <c r="D56" s="343" t="s">
        <v>82</v>
      </c>
      <c r="E56" s="292"/>
      <c r="F56" s="292"/>
      <c r="G56" s="292"/>
    </row>
    <row r="57" spans="1:7" x14ac:dyDescent="0.25">
      <c r="A57" s="316" t="s">
        <v>611</v>
      </c>
      <c r="B57" s="300" t="s">
        <v>667</v>
      </c>
      <c r="C57" s="342">
        <v>83482950332.199997</v>
      </c>
      <c r="D57" s="342">
        <v>268784248579</v>
      </c>
      <c r="E57" s="292"/>
      <c r="F57" s="292"/>
      <c r="G57" s="292"/>
    </row>
    <row r="58" spans="1:7" ht="22.5" customHeight="1" x14ac:dyDescent="0.25">
      <c r="A58" s="336" t="s">
        <v>668</v>
      </c>
      <c r="B58" s="309" t="s">
        <v>669</v>
      </c>
      <c r="C58" s="304">
        <f>C29-C43</f>
        <v>457336184.50001526</v>
      </c>
      <c r="D58" s="304">
        <f>D29-D43</f>
        <v>-857976344.33999634</v>
      </c>
      <c r="E58" s="292"/>
      <c r="F58" s="292"/>
      <c r="G58" s="292"/>
    </row>
    <row r="59" spans="1:7" x14ac:dyDescent="0.25">
      <c r="A59" s="320" t="s">
        <v>670</v>
      </c>
      <c r="B59" s="345"/>
      <c r="C59" s="320"/>
      <c r="D59" s="320"/>
      <c r="E59" s="292"/>
      <c r="F59" s="292"/>
      <c r="G59" s="292"/>
    </row>
    <row r="60" spans="1:7" x14ac:dyDescent="0.25">
      <c r="A60" s="321" t="s">
        <v>671</v>
      </c>
      <c r="B60" s="297" t="s">
        <v>672</v>
      </c>
      <c r="C60" s="328">
        <f>SUM(C61:C65)</f>
        <v>0</v>
      </c>
      <c r="D60" s="304">
        <f>SUM(D61:D65)</f>
        <v>1225200000</v>
      </c>
      <c r="E60" s="292"/>
      <c r="F60" s="292"/>
      <c r="G60" s="292"/>
    </row>
    <row r="61" spans="1:7" x14ac:dyDescent="0.25">
      <c r="A61" s="318" t="s">
        <v>52</v>
      </c>
      <c r="B61" s="300"/>
      <c r="C61" s="310">
        <v>0</v>
      </c>
      <c r="D61" s="346">
        <v>0</v>
      </c>
      <c r="E61" s="292" t="s">
        <v>606</v>
      </c>
      <c r="F61" s="292"/>
      <c r="G61" s="292"/>
    </row>
    <row r="62" spans="1:7" x14ac:dyDescent="0.25">
      <c r="A62" s="314" t="s">
        <v>673</v>
      </c>
      <c r="B62" s="300" t="s">
        <v>674</v>
      </c>
      <c r="C62" s="327">
        <v>0</v>
      </c>
      <c r="D62" s="342">
        <v>1225200000</v>
      </c>
      <c r="E62" s="292"/>
      <c r="F62" s="292"/>
      <c r="G62" s="292"/>
    </row>
    <row r="63" spans="1:7" x14ac:dyDescent="0.25">
      <c r="A63" s="314" t="s">
        <v>675</v>
      </c>
      <c r="B63" s="300" t="s">
        <v>676</v>
      </c>
      <c r="C63" s="327">
        <v>0</v>
      </c>
      <c r="D63" s="343"/>
      <c r="E63" s="292"/>
      <c r="F63" s="292"/>
      <c r="G63" s="292"/>
    </row>
    <row r="64" spans="1:7" x14ac:dyDescent="0.25">
      <c r="A64" s="314" t="s">
        <v>677</v>
      </c>
      <c r="B64" s="300" t="s">
        <v>678</v>
      </c>
      <c r="C64" s="327">
        <v>0</v>
      </c>
      <c r="D64" s="343"/>
      <c r="E64" s="292"/>
      <c r="F64" s="292"/>
      <c r="G64" s="292"/>
    </row>
    <row r="65" spans="1:7" x14ac:dyDescent="0.25">
      <c r="A65" s="314" t="s">
        <v>594</v>
      </c>
      <c r="B65" s="306" t="s">
        <v>679</v>
      </c>
      <c r="C65" s="327">
        <v>0</v>
      </c>
      <c r="D65" s="343"/>
      <c r="E65" s="292"/>
      <c r="F65" s="292"/>
      <c r="G65" s="292"/>
    </row>
    <row r="66" spans="1:7" x14ac:dyDescent="0.25">
      <c r="A66" s="317" t="s">
        <v>680</v>
      </c>
      <c r="B66" s="309" t="s">
        <v>681</v>
      </c>
      <c r="C66" s="304">
        <f>SUM(C68:C72)</f>
        <v>56000000</v>
      </c>
      <c r="D66" s="304">
        <f>SUM(D68:D72)</f>
        <v>0</v>
      </c>
      <c r="E66" s="292"/>
      <c r="F66" s="292"/>
      <c r="G66" s="292"/>
    </row>
    <row r="67" spans="1:7" x14ac:dyDescent="0.25">
      <c r="A67" s="318" t="s">
        <v>52</v>
      </c>
      <c r="B67" s="300"/>
      <c r="C67" s="310">
        <v>0</v>
      </c>
      <c r="D67" s="346"/>
      <c r="E67" s="292"/>
      <c r="F67" s="292"/>
      <c r="G67" s="292"/>
    </row>
    <row r="68" spans="1:7" x14ac:dyDescent="0.25">
      <c r="A68" s="317" t="s">
        <v>682</v>
      </c>
      <c r="B68" s="300" t="s">
        <v>683</v>
      </c>
      <c r="C68" s="327">
        <v>0</v>
      </c>
      <c r="D68" s="343"/>
      <c r="E68" s="292"/>
      <c r="F68" s="292"/>
      <c r="G68" s="292"/>
    </row>
    <row r="69" spans="1:7" x14ac:dyDescent="0.25">
      <c r="A69" s="314" t="s">
        <v>684</v>
      </c>
      <c r="B69" s="300" t="s">
        <v>685</v>
      </c>
      <c r="C69" s="302" t="s">
        <v>82</v>
      </c>
      <c r="D69" s="343"/>
      <c r="E69" s="292"/>
      <c r="F69" s="292"/>
      <c r="G69" s="292"/>
    </row>
    <row r="70" spans="1:7" x14ac:dyDescent="0.25">
      <c r="A70" s="314" t="s">
        <v>686</v>
      </c>
      <c r="B70" s="300" t="s">
        <v>687</v>
      </c>
      <c r="C70" s="301">
        <v>56000000</v>
      </c>
      <c r="D70" s="343"/>
      <c r="E70" s="292" t="s">
        <v>606</v>
      </c>
      <c r="F70" s="292"/>
      <c r="G70" s="292"/>
    </row>
    <row r="71" spans="1:7" x14ac:dyDescent="0.25">
      <c r="A71" s="314" t="s">
        <v>688</v>
      </c>
      <c r="B71" s="300" t="s">
        <v>689</v>
      </c>
      <c r="C71" s="327">
        <v>0</v>
      </c>
      <c r="D71" s="343"/>
      <c r="E71" s="292"/>
      <c r="F71" s="292"/>
      <c r="G71" s="292"/>
    </row>
    <row r="72" spans="1:7" x14ac:dyDescent="0.25">
      <c r="A72" s="317" t="s">
        <v>690</v>
      </c>
      <c r="B72" s="300" t="s">
        <v>691</v>
      </c>
      <c r="C72" s="327">
        <v>0</v>
      </c>
      <c r="D72" s="343"/>
      <c r="E72" s="292"/>
      <c r="F72" s="292"/>
      <c r="G72" s="292"/>
    </row>
    <row r="73" spans="1:7" ht="30.75" customHeight="1" x14ac:dyDescent="0.25">
      <c r="A73" s="319" t="s">
        <v>692</v>
      </c>
      <c r="B73" s="309" t="s">
        <v>693</v>
      </c>
      <c r="C73" s="329">
        <f>C60-C66</f>
        <v>-56000000</v>
      </c>
      <c r="D73" s="304">
        <f>D60-D66</f>
        <v>1225200000</v>
      </c>
      <c r="E73" s="292"/>
      <c r="F73" s="292"/>
      <c r="G73" s="292"/>
    </row>
    <row r="74" spans="1:7" ht="27.75" customHeight="1" x14ac:dyDescent="0.25">
      <c r="A74" s="316" t="s">
        <v>694</v>
      </c>
      <c r="B74" s="309" t="s">
        <v>695</v>
      </c>
      <c r="C74" s="330">
        <v>747394.93</v>
      </c>
      <c r="D74" s="348">
        <v>-1516.61</v>
      </c>
      <c r="E74" s="292"/>
      <c r="F74" s="292"/>
      <c r="G74" s="292"/>
    </row>
    <row r="75" spans="1:7" ht="27.75" customHeight="1" x14ac:dyDescent="0.25">
      <c r="A75" s="316" t="s">
        <v>696</v>
      </c>
      <c r="B75" s="309" t="s">
        <v>697</v>
      </c>
      <c r="C75" s="331"/>
      <c r="D75" s="349"/>
      <c r="E75" s="292"/>
      <c r="F75" s="292"/>
      <c r="G75" s="292"/>
    </row>
    <row r="76" spans="1:7" ht="27.75" customHeight="1" x14ac:dyDescent="0.25">
      <c r="A76" s="316" t="s">
        <v>698</v>
      </c>
      <c r="B76" s="309" t="s">
        <v>699</v>
      </c>
      <c r="C76" s="304">
        <f>C27+C58+C73+C74+C75</f>
        <v>16276972.930015199</v>
      </c>
      <c r="D76" s="304">
        <f>D27+D58+D73+D74+D75</f>
        <v>1870257.3200036429</v>
      </c>
      <c r="E76" s="292"/>
      <c r="F76" s="292"/>
      <c r="G76" s="292"/>
    </row>
    <row r="77" spans="1:7" x14ac:dyDescent="0.25">
      <c r="A77" s="316" t="s">
        <v>700</v>
      </c>
      <c r="B77" s="309" t="s">
        <v>701</v>
      </c>
      <c r="C77" s="304">
        <v>1870257.32</v>
      </c>
      <c r="D77" s="347" t="s">
        <v>82</v>
      </c>
      <c r="E77" s="292"/>
      <c r="F77" s="292"/>
      <c r="G77" s="292"/>
    </row>
    <row r="78" spans="1:7" x14ac:dyDescent="0.25">
      <c r="A78" s="335" t="s">
        <v>702</v>
      </c>
      <c r="B78" s="309" t="s">
        <v>703</v>
      </c>
      <c r="C78" s="304">
        <v>18147231.25</v>
      </c>
      <c r="D78" s="339">
        <v>1870257.32</v>
      </c>
      <c r="E78" s="292"/>
      <c r="F78" s="292"/>
      <c r="G78" s="292"/>
    </row>
    <row r="79" spans="1:7" x14ac:dyDescent="0.25">
      <c r="A79" s="292"/>
      <c r="B79" s="292"/>
      <c r="C79" s="292"/>
      <c r="D79" s="292"/>
      <c r="E79" s="292"/>
      <c r="F79" s="292"/>
      <c r="G79" s="292"/>
    </row>
    <row r="80" spans="1:7" x14ac:dyDescent="0.25">
      <c r="A80" s="292"/>
      <c r="B80" s="292"/>
      <c r="C80" s="292"/>
      <c r="D80" s="292"/>
      <c r="E80" s="292"/>
    </row>
    <row r="81" spans="1:7" x14ac:dyDescent="0.25">
      <c r="A81" s="293" t="s">
        <v>705</v>
      </c>
      <c r="B81" s="332"/>
      <c r="C81" s="292"/>
      <c r="D81" s="292"/>
    </row>
    <row r="82" spans="1:7" x14ac:dyDescent="0.25">
      <c r="A82" s="292"/>
      <c r="B82" s="333" t="s">
        <v>704</v>
      </c>
      <c r="C82" s="292"/>
      <c r="D82" s="292"/>
    </row>
    <row r="83" spans="1:7" x14ac:dyDescent="0.25">
      <c r="A83" s="292"/>
      <c r="B83" s="292"/>
      <c r="C83" s="292"/>
      <c r="D83" s="292"/>
    </row>
    <row r="84" spans="1:7" x14ac:dyDescent="0.25">
      <c r="A84" s="334" t="s">
        <v>706</v>
      </c>
      <c r="B84" s="332"/>
      <c r="C84" s="292"/>
      <c r="D84" s="292"/>
    </row>
    <row r="85" spans="1:7" x14ac:dyDescent="0.25">
      <c r="A85" s="292"/>
      <c r="B85" s="333" t="s">
        <v>704</v>
      </c>
      <c r="C85" s="292"/>
      <c r="E85" s="292"/>
      <c r="F85" s="292"/>
    </row>
    <row r="86" spans="1:7" x14ac:dyDescent="0.25">
      <c r="A86" s="292"/>
      <c r="B86" s="292"/>
      <c r="C86" s="292"/>
      <c r="D86" s="292"/>
      <c r="E86" s="292"/>
      <c r="F86" s="292"/>
      <c r="G86" s="292"/>
    </row>
    <row r="87" spans="1:7" x14ac:dyDescent="0.25">
      <c r="A87" s="292"/>
      <c r="B87" s="292"/>
      <c r="C87" s="292"/>
      <c r="D87" s="292"/>
      <c r="E87" s="292"/>
      <c r="F87" s="292"/>
      <c r="G87" s="292"/>
    </row>
    <row r="88" spans="1:7" x14ac:dyDescent="0.25">
      <c r="A88" s="292"/>
      <c r="B88" s="292"/>
      <c r="C88" s="292"/>
      <c r="D88" s="292"/>
      <c r="E88" s="292"/>
      <c r="F88" s="292"/>
      <c r="G88" s="292"/>
    </row>
    <row r="89" spans="1:7" x14ac:dyDescent="0.25">
      <c r="A89" s="292"/>
      <c r="B89" s="292"/>
      <c r="C89" s="292"/>
      <c r="D89" s="292"/>
      <c r="E89" s="292"/>
      <c r="F89" s="292"/>
      <c r="G89" s="292"/>
    </row>
    <row r="90" spans="1:7" x14ac:dyDescent="0.25">
      <c r="A90" s="292"/>
      <c r="B90" s="292"/>
      <c r="C90" s="292"/>
      <c r="D90" s="292"/>
      <c r="E90" s="292"/>
      <c r="F90" s="292"/>
      <c r="G90" s="292"/>
    </row>
    <row r="91" spans="1:7" x14ac:dyDescent="0.25">
      <c r="A91" s="292"/>
      <c r="B91" s="292"/>
      <c r="C91" s="292"/>
      <c r="D91" s="292"/>
      <c r="E91" s="292"/>
      <c r="F91" s="292"/>
      <c r="G91" s="292"/>
    </row>
    <row r="92" spans="1:7" x14ac:dyDescent="0.25">
      <c r="A92" s="292"/>
      <c r="B92" s="292"/>
      <c r="C92" s="292"/>
      <c r="D92" s="292"/>
      <c r="E92" s="292"/>
      <c r="F92" s="292"/>
      <c r="G92" s="292"/>
    </row>
    <row r="93" spans="1:7" x14ac:dyDescent="0.25">
      <c r="A93" s="292"/>
      <c r="B93" s="292"/>
      <c r="C93" s="292"/>
      <c r="D93" s="292"/>
      <c r="E93" s="292"/>
      <c r="F93" s="292"/>
      <c r="G93" s="292"/>
    </row>
    <row r="94" spans="1:7" x14ac:dyDescent="0.25">
      <c r="A94" s="292"/>
      <c r="B94" s="292"/>
      <c r="C94" s="292"/>
      <c r="D94" s="292"/>
      <c r="E94" s="292"/>
      <c r="F94" s="292"/>
      <c r="G94" s="292"/>
    </row>
    <row r="95" spans="1:7" x14ac:dyDescent="0.25">
      <c r="A95" s="292"/>
      <c r="B95" s="292"/>
      <c r="C95" s="292"/>
      <c r="D95" s="292"/>
      <c r="E95" s="292"/>
      <c r="F95" s="292"/>
      <c r="G95" s="292"/>
    </row>
    <row r="96" spans="1:7" x14ac:dyDescent="0.25">
      <c r="A96" s="292"/>
      <c r="B96" s="292"/>
      <c r="C96" s="292"/>
      <c r="D96" s="292"/>
      <c r="E96" s="292"/>
      <c r="F96" s="292"/>
      <c r="G96" s="292"/>
    </row>
    <row r="97" spans="1:7" x14ac:dyDescent="0.25">
      <c r="A97" s="292"/>
      <c r="B97" s="292"/>
      <c r="C97" s="292"/>
      <c r="D97" s="292"/>
      <c r="E97" s="292"/>
      <c r="F97" s="292"/>
      <c r="G97" s="292"/>
    </row>
    <row r="98" spans="1:7" x14ac:dyDescent="0.25">
      <c r="A98" s="292"/>
      <c r="B98" s="292"/>
      <c r="C98" s="292"/>
      <c r="D98" s="292"/>
      <c r="E98" s="292"/>
      <c r="F98" s="292"/>
      <c r="G98" s="292"/>
    </row>
    <row r="99" spans="1:7" x14ac:dyDescent="0.25">
      <c r="A99" s="292"/>
      <c r="B99" s="292"/>
      <c r="C99" s="292"/>
      <c r="D99" s="292"/>
      <c r="E99" s="292"/>
      <c r="F99" s="292"/>
      <c r="G99" s="292"/>
    </row>
    <row r="100" spans="1:7" x14ac:dyDescent="0.25">
      <c r="A100" s="292"/>
      <c r="B100" s="292"/>
      <c r="C100" s="292"/>
      <c r="D100" s="292"/>
      <c r="E100" s="292"/>
      <c r="F100" s="292"/>
      <c r="G100" s="292"/>
    </row>
    <row r="101" spans="1:7" x14ac:dyDescent="0.25">
      <c r="A101" s="292"/>
      <c r="B101" s="292"/>
      <c r="C101" s="292"/>
      <c r="D101" s="292"/>
      <c r="E101" s="292"/>
      <c r="F101" s="292"/>
      <c r="G101" s="292"/>
    </row>
    <row r="102" spans="1:7" x14ac:dyDescent="0.25">
      <c r="A102" s="292"/>
      <c r="B102" s="292"/>
      <c r="C102" s="292"/>
      <c r="D102" s="292"/>
      <c r="E102" s="292"/>
      <c r="F102" s="292"/>
      <c r="G102" s="292"/>
    </row>
    <row r="103" spans="1:7" x14ac:dyDescent="0.25">
      <c r="A103" s="292"/>
      <c r="B103" s="292"/>
      <c r="C103" s="292"/>
      <c r="D103" s="292"/>
      <c r="E103" s="292"/>
      <c r="F103" s="292"/>
      <c r="G103" s="292"/>
    </row>
    <row r="104" spans="1:7" x14ac:dyDescent="0.25">
      <c r="A104" s="292"/>
      <c r="B104" s="292"/>
      <c r="C104" s="292"/>
      <c r="D104" s="292"/>
      <c r="E104" s="292"/>
      <c r="F104" s="292"/>
      <c r="G104" s="292"/>
    </row>
    <row r="105" spans="1:7" x14ac:dyDescent="0.25">
      <c r="A105" s="292"/>
      <c r="B105" s="292"/>
      <c r="C105" s="292"/>
      <c r="D105" s="292"/>
      <c r="E105" s="292"/>
      <c r="F105" s="292"/>
      <c r="G105" s="292"/>
    </row>
    <row r="106" spans="1:7" x14ac:dyDescent="0.25">
      <c r="A106" s="292"/>
      <c r="B106" s="292"/>
      <c r="C106" s="292"/>
      <c r="D106" s="292"/>
      <c r="E106" s="292"/>
      <c r="F106" s="292"/>
      <c r="G106" s="292"/>
    </row>
    <row r="107" spans="1:7" x14ac:dyDescent="0.25">
      <c r="A107" s="292"/>
      <c r="B107" s="292"/>
      <c r="C107" s="292"/>
      <c r="D107" s="292"/>
      <c r="E107" s="292"/>
      <c r="F107" s="292"/>
      <c r="G107" s="292"/>
    </row>
    <row r="108" spans="1:7" x14ac:dyDescent="0.25">
      <c r="A108" s="292"/>
      <c r="B108" s="292"/>
      <c r="C108" s="292"/>
      <c r="D108" s="292"/>
      <c r="E108" s="292"/>
      <c r="F108" s="292"/>
      <c r="G108" s="292"/>
    </row>
    <row r="109" spans="1:7" x14ac:dyDescent="0.25">
      <c r="A109" s="292"/>
      <c r="B109" s="292"/>
      <c r="C109" s="292"/>
      <c r="D109" s="292"/>
      <c r="E109" s="292"/>
      <c r="F109" s="292"/>
      <c r="G109" s="292"/>
    </row>
    <row r="110" spans="1:7" x14ac:dyDescent="0.25">
      <c r="A110" s="292"/>
      <c r="B110" s="292"/>
      <c r="C110" s="292"/>
      <c r="D110" s="292"/>
      <c r="E110" s="292"/>
      <c r="F110" s="292"/>
      <c r="G110" s="292"/>
    </row>
    <row r="111" spans="1:7" x14ac:dyDescent="0.25">
      <c r="A111" s="292"/>
      <c r="B111" s="292"/>
      <c r="C111" s="292"/>
      <c r="D111" s="292"/>
      <c r="E111" s="292"/>
      <c r="F111" s="292"/>
      <c r="G111" s="292"/>
    </row>
    <row r="112" spans="1:7" x14ac:dyDescent="0.25">
      <c r="A112" s="292"/>
      <c r="B112" s="292"/>
      <c r="C112" s="292"/>
      <c r="D112" s="292"/>
      <c r="E112" s="292"/>
      <c r="F112" s="292"/>
      <c r="G112" s="292"/>
    </row>
    <row r="113" spans="1:7" x14ac:dyDescent="0.25">
      <c r="A113" s="292"/>
      <c r="B113" s="292"/>
      <c r="C113" s="292"/>
      <c r="D113" s="292"/>
      <c r="E113" s="292"/>
      <c r="F113" s="292"/>
      <c r="G113" s="292"/>
    </row>
    <row r="114" spans="1:7" x14ac:dyDescent="0.25">
      <c r="A114" s="292"/>
      <c r="B114" s="292"/>
      <c r="C114" s="292"/>
      <c r="D114" s="292"/>
      <c r="E114" s="292"/>
      <c r="F114" s="292"/>
      <c r="G114" s="292"/>
    </row>
    <row r="115" spans="1:7" x14ac:dyDescent="0.25">
      <c r="A115" s="292"/>
      <c r="B115" s="292"/>
      <c r="C115" s="292"/>
      <c r="D115" s="292"/>
      <c r="E115" s="292"/>
      <c r="F115" s="292"/>
      <c r="G115" s="292"/>
    </row>
    <row r="116" spans="1:7" x14ac:dyDescent="0.25">
      <c r="A116" s="292"/>
      <c r="B116" s="292"/>
      <c r="C116" s="292"/>
      <c r="D116" s="292"/>
      <c r="E116" s="292"/>
      <c r="F116" s="292"/>
      <c r="G116" s="292"/>
    </row>
    <row r="117" spans="1:7" x14ac:dyDescent="0.25">
      <c r="A117" s="292"/>
      <c r="B117" s="292"/>
      <c r="C117" s="292"/>
      <c r="D117" s="292"/>
      <c r="E117" s="292"/>
      <c r="F117" s="292"/>
      <c r="G117" s="292"/>
    </row>
    <row r="118" spans="1:7" x14ac:dyDescent="0.25">
      <c r="A118" s="292"/>
      <c r="B118" s="292"/>
      <c r="C118" s="292"/>
      <c r="D118" s="292"/>
      <c r="E118" s="292"/>
      <c r="F118" s="292"/>
      <c r="G118" s="292"/>
    </row>
    <row r="119" spans="1:7" x14ac:dyDescent="0.25">
      <c r="A119" s="292"/>
      <c r="B119" s="292"/>
      <c r="C119" s="292"/>
      <c r="D119" s="292"/>
      <c r="E119" s="292"/>
      <c r="F119" s="292"/>
      <c r="G119" s="292"/>
    </row>
    <row r="120" spans="1:7" x14ac:dyDescent="0.25">
      <c r="A120" s="292"/>
      <c r="B120" s="292"/>
      <c r="C120" s="292"/>
      <c r="D120" s="292"/>
      <c r="E120" s="292"/>
      <c r="F120" s="292"/>
      <c r="G120" s="292"/>
    </row>
    <row r="121" spans="1:7" x14ac:dyDescent="0.25">
      <c r="A121" s="292"/>
      <c r="B121" s="292"/>
      <c r="C121" s="292"/>
      <c r="D121" s="292"/>
      <c r="E121" s="292"/>
      <c r="F121" s="292"/>
      <c r="G121" s="292"/>
    </row>
    <row r="122" spans="1:7" x14ac:dyDescent="0.25">
      <c r="A122" s="292"/>
      <c r="B122" s="292"/>
      <c r="C122" s="292"/>
      <c r="D122" s="292"/>
      <c r="E122" s="292"/>
      <c r="F122" s="292"/>
      <c r="G122" s="292"/>
    </row>
    <row r="123" spans="1:7" x14ac:dyDescent="0.25">
      <c r="A123" s="292"/>
      <c r="B123" s="292"/>
      <c r="C123" s="292"/>
      <c r="D123" s="292"/>
      <c r="E123" s="292"/>
      <c r="F123" s="292"/>
      <c r="G123" s="292"/>
    </row>
    <row r="124" spans="1:7" x14ac:dyDescent="0.25">
      <c r="A124" s="292"/>
      <c r="B124" s="292"/>
      <c r="C124" s="292"/>
      <c r="D124" s="292"/>
      <c r="E124" s="292"/>
      <c r="F124" s="292"/>
      <c r="G124" s="292"/>
    </row>
    <row r="125" spans="1:7" x14ac:dyDescent="0.25">
      <c r="A125" s="292"/>
      <c r="B125" s="292"/>
      <c r="C125" s="292"/>
      <c r="D125" s="292"/>
      <c r="E125" s="292"/>
      <c r="F125" s="292"/>
      <c r="G125" s="292"/>
    </row>
    <row r="126" spans="1:7" x14ac:dyDescent="0.25">
      <c r="A126" s="292"/>
      <c r="B126" s="292"/>
      <c r="C126" s="292"/>
      <c r="D126" s="292"/>
      <c r="E126" s="292"/>
      <c r="F126" s="292"/>
      <c r="G126" s="292"/>
    </row>
    <row r="127" spans="1:7" x14ac:dyDescent="0.25">
      <c r="A127" s="292"/>
      <c r="B127" s="292"/>
      <c r="C127" s="292"/>
      <c r="D127" s="292"/>
      <c r="E127" s="292"/>
      <c r="F127" s="292"/>
      <c r="G127" s="292"/>
    </row>
    <row r="128" spans="1:7" x14ac:dyDescent="0.25">
      <c r="A128" s="292"/>
      <c r="B128" s="292"/>
      <c r="C128" s="292"/>
      <c r="D128" s="292"/>
      <c r="E128" s="292"/>
      <c r="F128" s="292"/>
      <c r="G128" s="292"/>
    </row>
    <row r="129" spans="1:7" x14ac:dyDescent="0.25">
      <c r="A129" s="292"/>
      <c r="B129" s="292"/>
      <c r="C129" s="292"/>
      <c r="D129" s="292"/>
      <c r="E129" s="292"/>
      <c r="F129" s="292"/>
      <c r="G129" s="292"/>
    </row>
    <row r="130" spans="1:7" x14ac:dyDescent="0.25">
      <c r="A130" s="292"/>
      <c r="B130" s="292"/>
      <c r="C130" s="292"/>
      <c r="D130" s="292"/>
      <c r="E130" s="292"/>
      <c r="F130" s="292"/>
      <c r="G130" s="292"/>
    </row>
    <row r="131" spans="1:7" x14ac:dyDescent="0.25">
      <c r="A131" s="292"/>
      <c r="B131" s="292"/>
      <c r="C131" s="292"/>
      <c r="D131" s="292"/>
      <c r="E131" s="292"/>
      <c r="F131" s="292"/>
      <c r="G131" s="292"/>
    </row>
    <row r="132" spans="1:7" x14ac:dyDescent="0.25">
      <c r="A132" s="292"/>
      <c r="B132" s="292"/>
      <c r="C132" s="292"/>
      <c r="D132" s="292"/>
      <c r="E132" s="292"/>
      <c r="F132" s="292"/>
      <c r="G132" s="292"/>
    </row>
    <row r="133" spans="1:7" x14ac:dyDescent="0.25">
      <c r="A133" s="292"/>
      <c r="B133" s="292"/>
      <c r="C133" s="292"/>
      <c r="D133" s="292"/>
      <c r="E133" s="292"/>
      <c r="F133" s="292"/>
      <c r="G133" s="292"/>
    </row>
  </sheetData>
  <mergeCells count="4">
    <mergeCell ref="A1:D1"/>
    <mergeCell ref="A3:D3"/>
    <mergeCell ref="A4:D4"/>
    <mergeCell ref="A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tabColor theme="8" tint="0.59999389629810485"/>
    <pageSetUpPr fitToPage="1"/>
  </sheetPr>
  <dimension ref="A1:M47"/>
  <sheetViews>
    <sheetView workbookViewId="0">
      <selection sqref="A1:C6"/>
    </sheetView>
  </sheetViews>
  <sheetFormatPr defaultColWidth="9.140625" defaultRowHeight="18" x14ac:dyDescent="0.35"/>
  <cols>
    <col min="1" max="1" width="68.140625" style="27" customWidth="1"/>
    <col min="2" max="3" width="21" style="27" customWidth="1"/>
    <col min="4" max="5" width="9.140625" style="27"/>
    <col min="6" max="6" width="11.28515625" style="27" customWidth="1"/>
    <col min="7" max="9" width="9.140625" style="27"/>
    <col min="10" max="10" width="18.5703125" style="27" customWidth="1"/>
    <col min="11" max="11" width="45.7109375" style="27" customWidth="1"/>
    <col min="12" max="13" width="12.42578125" style="27" customWidth="1"/>
    <col min="14" max="16384" width="9.140625" style="27"/>
  </cols>
  <sheetData>
    <row r="1" spans="1:11" ht="18.75" x14ac:dyDescent="0.35">
      <c r="A1" s="75" t="e">
        <f>ОФП!A1</f>
        <v>#REF!</v>
      </c>
    </row>
    <row r="2" spans="1:11" x14ac:dyDescent="0.35">
      <c r="A2" s="47"/>
    </row>
    <row r="3" spans="1:11" x14ac:dyDescent="0.35">
      <c r="A3" s="419" t="s">
        <v>376</v>
      </c>
      <c r="B3" s="419"/>
      <c r="C3" s="419"/>
    </row>
    <row r="4" spans="1:11" x14ac:dyDescent="0.35">
      <c r="A4" s="419" t="str">
        <f>'ОПУ и ПСД'!A4:C4</f>
        <v>за год, закончившийся 31 Декабря 2023</v>
      </c>
      <c r="B4" s="419"/>
      <c r="C4" s="419"/>
    </row>
    <row r="5" spans="1:11" x14ac:dyDescent="0.35">
      <c r="A5" s="427" t="s">
        <v>377</v>
      </c>
      <c r="B5" s="427"/>
      <c r="C5" s="427"/>
    </row>
    <row r="6" spans="1:11" x14ac:dyDescent="0.35">
      <c r="A6" s="61"/>
      <c r="C6" s="33" t="s">
        <v>423</v>
      </c>
    </row>
    <row r="7" spans="1:11" ht="25.5" customHeight="1" x14ac:dyDescent="0.35">
      <c r="A7" s="34"/>
      <c r="B7" s="48" t="str">
        <f>'ОПУ и ПСД'!B7</f>
        <v>2023 г.</v>
      </c>
      <c r="C7" s="48" t="str">
        <f>'ОПУ и ПСД'!C7</f>
        <v>2022 г.</v>
      </c>
      <c r="J7" s="62"/>
      <c r="K7" s="28"/>
    </row>
    <row r="8" spans="1:11" x14ac:dyDescent="0.35">
      <c r="A8" s="49" t="s">
        <v>378</v>
      </c>
      <c r="B8" s="63">
        <f>'ОПУ и ПСД'!B22</f>
        <v>68231</v>
      </c>
      <c r="C8" s="63">
        <f>'ОПУ и ПСД'!C22</f>
        <v>71658</v>
      </c>
      <c r="J8" s="64"/>
    </row>
    <row r="9" spans="1:11" ht="30" x14ac:dyDescent="0.35">
      <c r="A9" s="49" t="s">
        <v>379</v>
      </c>
      <c r="B9" s="63" t="e">
        <f>SUM(B10:B16)</f>
        <v>#REF!</v>
      </c>
      <c r="C9" s="63">
        <f>SUM(C10:C16)</f>
        <v>0</v>
      </c>
      <c r="J9" s="428" t="s">
        <v>392</v>
      </c>
      <c r="K9" s="428"/>
    </row>
    <row r="10" spans="1:11" ht="17.25" customHeight="1" x14ac:dyDescent="0.35">
      <c r="A10" s="42" t="s">
        <v>380</v>
      </c>
      <c r="B10" s="65">
        <f>'ОПУ UDC'!D96</f>
        <v>2492</v>
      </c>
      <c r="C10" s="41"/>
      <c r="J10" s="66" t="s">
        <v>393</v>
      </c>
      <c r="K10" s="67" t="s">
        <v>394</v>
      </c>
    </row>
    <row r="11" spans="1:11" x14ac:dyDescent="0.35">
      <c r="A11" s="42" t="s">
        <v>381</v>
      </c>
      <c r="B11" s="65">
        <f>-('ОПУ UDC'!D53-'ОПУ UDC'!D90)</f>
        <v>0</v>
      </c>
      <c r="C11" s="65"/>
      <c r="K11" s="68" t="s">
        <v>396</v>
      </c>
    </row>
    <row r="12" spans="1:11" ht="30" x14ac:dyDescent="0.35">
      <c r="A12" s="42" t="s">
        <v>382</v>
      </c>
      <c r="B12" s="65">
        <f>'ОПУ UDC'!D41-'ОПУ UDC'!D78</f>
        <v>-2715</v>
      </c>
      <c r="C12" s="65"/>
      <c r="J12" s="69" t="s">
        <v>398</v>
      </c>
      <c r="K12" s="70" t="s">
        <v>399</v>
      </c>
    </row>
    <row r="13" spans="1:11" ht="45" x14ac:dyDescent="0.35">
      <c r="A13" s="42" t="s">
        <v>383</v>
      </c>
      <c r="B13" s="65">
        <f>-('ОПУ UDC'!D40-'ОПУ UDC'!D77)</f>
        <v>-5386</v>
      </c>
      <c r="C13" s="65"/>
      <c r="J13" s="69" t="s">
        <v>398</v>
      </c>
      <c r="K13" s="70" t="s">
        <v>401</v>
      </c>
    </row>
    <row r="14" spans="1:11" ht="30" x14ac:dyDescent="0.35">
      <c r="A14" s="42" t="s">
        <v>557</v>
      </c>
      <c r="B14" s="65">
        <f>-'Баланс UDC'!C28</f>
        <v>-1069</v>
      </c>
      <c r="C14" s="41"/>
      <c r="J14" s="69" t="s">
        <v>398</v>
      </c>
      <c r="K14" s="70" t="s">
        <v>403</v>
      </c>
    </row>
    <row r="15" spans="1:11" x14ac:dyDescent="0.35">
      <c r="A15" s="42" t="s">
        <v>384</v>
      </c>
      <c r="B15" s="65">
        <f>-'ОПУ UDC'!D20</f>
        <v>0</v>
      </c>
      <c r="C15" s="65"/>
      <c r="J15" s="69" t="s">
        <v>82</v>
      </c>
      <c r="K15" s="70" t="s">
        <v>405</v>
      </c>
    </row>
    <row r="16" spans="1:11" x14ac:dyDescent="0.35">
      <c r="A16" s="42" t="s">
        <v>385</v>
      </c>
      <c r="B16" s="65" t="e">
        <f>-'Баланс UDC'!#REF!</f>
        <v>#REF!</v>
      </c>
      <c r="C16" s="41"/>
      <c r="J16" s="69"/>
      <c r="K16" s="68" t="s">
        <v>407</v>
      </c>
    </row>
    <row r="17" spans="1:13" ht="30" x14ac:dyDescent="0.35">
      <c r="A17" s="71" t="s">
        <v>386</v>
      </c>
      <c r="B17" s="72" t="e">
        <f>B8+B9</f>
        <v>#REF!</v>
      </c>
      <c r="C17" s="72">
        <f>C8+C9</f>
        <v>71658</v>
      </c>
      <c r="J17" s="69" t="s">
        <v>398</v>
      </c>
      <c r="K17" s="70" t="s">
        <v>408</v>
      </c>
    </row>
    <row r="18" spans="1:13" x14ac:dyDescent="0.35">
      <c r="A18" s="49" t="s">
        <v>387</v>
      </c>
      <c r="B18" s="43" t="e">
        <f>SUM(B19:B24)</f>
        <v>#REF!</v>
      </c>
      <c r="C18" s="43">
        <f>SUM(C19:C24)</f>
        <v>0</v>
      </c>
      <c r="J18" s="69" t="s">
        <v>82</v>
      </c>
      <c r="K18" s="70" t="s">
        <v>410</v>
      </c>
    </row>
    <row r="19" spans="1:13" x14ac:dyDescent="0.35">
      <c r="A19" s="42" t="s">
        <v>388</v>
      </c>
      <c r="B19" s="41">
        <v>0</v>
      </c>
      <c r="C19" s="41"/>
      <c r="J19" s="69"/>
      <c r="K19" s="68" t="s">
        <v>412</v>
      </c>
    </row>
    <row r="20" spans="1:13" x14ac:dyDescent="0.35">
      <c r="A20" s="42" t="s">
        <v>389</v>
      </c>
      <c r="B20" s="41" t="e">
        <f>-'Баланс UDC'!#REF!</f>
        <v>#REF!</v>
      </c>
      <c r="C20" s="41"/>
      <c r="J20" s="69" t="s">
        <v>82</v>
      </c>
      <c r="K20" s="70" t="s">
        <v>414</v>
      </c>
    </row>
    <row r="21" spans="1:13" ht="30" x14ac:dyDescent="0.35">
      <c r="A21" s="42" t="s">
        <v>390</v>
      </c>
      <c r="B21" s="41" t="e">
        <f>-('Баланс UDC'!#REF!+'Баланс UDC'!#REF!)</f>
        <v>#REF!</v>
      </c>
      <c r="C21" s="41"/>
      <c r="J21" s="69" t="s">
        <v>398</v>
      </c>
      <c r="K21" s="70" t="s">
        <v>415</v>
      </c>
    </row>
    <row r="22" spans="1:13" ht="30" x14ac:dyDescent="0.35">
      <c r="A22" s="42" t="s">
        <v>391</v>
      </c>
      <c r="B22" s="41" t="e">
        <f>-'Баланс UDC'!#REF!</f>
        <v>#REF!</v>
      </c>
      <c r="C22" s="41"/>
    </row>
    <row r="23" spans="1:13" ht="30" x14ac:dyDescent="0.35">
      <c r="A23" s="42" t="s">
        <v>556</v>
      </c>
      <c r="B23" s="65" t="e">
        <f>-'Баланс UDC'!#REF!</f>
        <v>#REF!</v>
      </c>
      <c r="C23" s="41"/>
      <c r="J23" s="262" t="s">
        <v>548</v>
      </c>
      <c r="K23" s="263"/>
      <c r="L23" s="263"/>
      <c r="M23" s="263"/>
    </row>
    <row r="24" spans="1:13" x14ac:dyDescent="0.35">
      <c r="A24" s="42" t="s">
        <v>395</v>
      </c>
      <c r="B24" s="65" t="e">
        <f>-('Баланс UDC'!#REF!+'Баланс UDC'!#REF!+'Баланс UDC'!#REF!)</f>
        <v>#REF!</v>
      </c>
      <c r="C24" s="41"/>
      <c r="J24" s="263"/>
      <c r="K24" s="263"/>
      <c r="L24" s="263"/>
      <c r="M24" s="263"/>
    </row>
    <row r="25" spans="1:13" x14ac:dyDescent="0.35">
      <c r="A25" s="49" t="s">
        <v>397</v>
      </c>
      <c r="B25" s="63" t="e">
        <f>SUM(B26:B27)</f>
        <v>#REF!</v>
      </c>
      <c r="C25" s="63">
        <f>SUM(C26:C27)</f>
        <v>0</v>
      </c>
      <c r="J25" s="264" t="s">
        <v>283</v>
      </c>
      <c r="K25" s="264" t="s">
        <v>284</v>
      </c>
      <c r="L25" s="263"/>
      <c r="M25" s="263"/>
    </row>
    <row r="26" spans="1:13" ht="30" x14ac:dyDescent="0.35">
      <c r="A26" s="42" t="s">
        <v>400</v>
      </c>
      <c r="B26" s="65" t="e">
        <f>'Баланс UDC'!#REF!+'Баланс UDC'!#REF!+'Баланс UDC'!#REF!+'Баланс UDC'!#REF!</f>
        <v>#REF!</v>
      </c>
      <c r="C26" s="41"/>
      <c r="J26" s="263"/>
      <c r="K26" s="263"/>
      <c r="L26" s="263"/>
      <c r="M26" s="263"/>
    </row>
    <row r="27" spans="1:13" x14ac:dyDescent="0.35">
      <c r="A27" s="42" t="s">
        <v>402</v>
      </c>
      <c r="B27" s="65">
        <f>'Баланс UDC'!C88+'Баланс UDC'!C90</f>
        <v>6846</v>
      </c>
      <c r="C27" s="41"/>
      <c r="J27" s="265" t="s">
        <v>285</v>
      </c>
      <c r="K27" s="265" t="s">
        <v>286</v>
      </c>
      <c r="L27" s="265" t="s">
        <v>265</v>
      </c>
      <c r="M27" s="265" t="s">
        <v>266</v>
      </c>
    </row>
    <row r="28" spans="1:13" ht="30" x14ac:dyDescent="0.35">
      <c r="A28" s="49" t="s">
        <v>404</v>
      </c>
      <c r="B28" s="63" t="e">
        <f>B17+B18+B25</f>
        <v>#REF!</v>
      </c>
      <c r="C28" s="63">
        <f>C17+C18+C25</f>
        <v>71658</v>
      </c>
      <c r="J28" s="266" t="s">
        <v>549</v>
      </c>
      <c r="K28" s="267" t="s">
        <v>287</v>
      </c>
      <c r="L28" s="268"/>
      <c r="M28" s="268"/>
    </row>
    <row r="29" spans="1:13" ht="30" x14ac:dyDescent="0.35">
      <c r="A29" s="71" t="s">
        <v>406</v>
      </c>
      <c r="B29" s="72" t="e">
        <f>B28</f>
        <v>#REF!</v>
      </c>
      <c r="C29" s="72">
        <f>C28</f>
        <v>71658</v>
      </c>
      <c r="J29" s="269"/>
      <c r="K29" s="270" t="s">
        <v>550</v>
      </c>
      <c r="L29" s="271">
        <v>120960</v>
      </c>
      <c r="M29" s="271">
        <v>120960</v>
      </c>
    </row>
    <row r="30" spans="1:13" ht="30" x14ac:dyDescent="0.35">
      <c r="A30" s="49" t="s">
        <v>555</v>
      </c>
      <c r="B30" s="43">
        <f>SUM(B31:B32)</f>
        <v>-340365</v>
      </c>
      <c r="C30" s="43">
        <f>SUM(C31)</f>
        <v>0</v>
      </c>
      <c r="J30" s="269"/>
      <c r="K30" s="270" t="s">
        <v>551</v>
      </c>
      <c r="L30" s="271">
        <v>12997039</v>
      </c>
      <c r="M30" s="272"/>
    </row>
    <row r="31" spans="1:13" x14ac:dyDescent="0.35">
      <c r="A31" s="42" t="s">
        <v>409</v>
      </c>
      <c r="B31" s="65">
        <f>-ROUND(SUM(L30+L39)/1000,0)+225</f>
        <v>-18703</v>
      </c>
      <c r="C31" s="41"/>
      <c r="J31" s="266"/>
      <c r="K31" s="267" t="s">
        <v>296</v>
      </c>
      <c r="L31" s="273">
        <v>13117999</v>
      </c>
      <c r="M31" s="273">
        <v>120960</v>
      </c>
    </row>
    <row r="32" spans="1:13" ht="30" x14ac:dyDescent="0.35">
      <c r="A32" s="42" t="s">
        <v>554</v>
      </c>
      <c r="B32" s="65">
        <f>-'Баланс UDC'!C26</f>
        <v>-321662</v>
      </c>
      <c r="C32" s="41"/>
      <c r="J32" s="266"/>
      <c r="K32" s="267" t="s">
        <v>297</v>
      </c>
      <c r="L32" s="273">
        <v>12997039</v>
      </c>
      <c r="M32" s="268"/>
    </row>
    <row r="33" spans="1:13" ht="30" x14ac:dyDescent="0.35">
      <c r="A33" s="71" t="s">
        <v>411</v>
      </c>
      <c r="B33" s="72">
        <f>B30</f>
        <v>-340365</v>
      </c>
      <c r="C33" s="72">
        <f>C30</f>
        <v>0</v>
      </c>
      <c r="J33" s="262" t="s">
        <v>552</v>
      </c>
      <c r="K33" s="263"/>
      <c r="L33" s="263"/>
      <c r="M33" s="263"/>
    </row>
    <row r="34" spans="1:13" ht="30" x14ac:dyDescent="0.35">
      <c r="A34" s="49" t="s">
        <v>413</v>
      </c>
      <c r="B34" s="43">
        <f>SUM(B35:B35)</f>
        <v>1225200</v>
      </c>
      <c r="C34" s="43">
        <f>SUM(C35:C35)</f>
        <v>0</v>
      </c>
      <c r="J34" s="263"/>
      <c r="K34" s="263"/>
      <c r="L34" s="263"/>
      <c r="M34" s="263"/>
    </row>
    <row r="35" spans="1:13" x14ac:dyDescent="0.35">
      <c r="A35" s="42" t="s">
        <v>547</v>
      </c>
      <c r="B35" s="41">
        <f>1225200</f>
        <v>1225200</v>
      </c>
      <c r="C35" s="41"/>
      <c r="J35" s="264" t="s">
        <v>283</v>
      </c>
      <c r="K35" s="264" t="s">
        <v>284</v>
      </c>
      <c r="L35" s="263"/>
      <c r="M35" s="263"/>
    </row>
    <row r="36" spans="1:13" ht="30" x14ac:dyDescent="0.35">
      <c r="A36" s="71" t="s">
        <v>516</v>
      </c>
      <c r="B36" s="73">
        <f>B34</f>
        <v>1225200</v>
      </c>
      <c r="C36" s="73">
        <f>C34</f>
        <v>0</v>
      </c>
      <c r="J36" s="263"/>
      <c r="K36" s="263"/>
      <c r="L36" s="263"/>
      <c r="M36" s="263"/>
    </row>
    <row r="37" spans="1:13" ht="30" x14ac:dyDescent="0.35">
      <c r="A37" s="49" t="s">
        <v>416</v>
      </c>
      <c r="B37" s="63" t="e">
        <f>B29+B33+B36</f>
        <v>#REF!</v>
      </c>
      <c r="C37" s="63">
        <f>C29+C33+C36</f>
        <v>71658</v>
      </c>
      <c r="J37" s="265" t="s">
        <v>285</v>
      </c>
      <c r="K37" s="265" t="s">
        <v>286</v>
      </c>
      <c r="L37" s="265" t="s">
        <v>265</v>
      </c>
      <c r="M37" s="265" t="s">
        <v>266</v>
      </c>
    </row>
    <row r="38" spans="1:13" ht="30" x14ac:dyDescent="0.35">
      <c r="A38" s="42" t="s">
        <v>417</v>
      </c>
      <c r="B38" s="65">
        <f>'ОПУ UDC'!D43-'ОПУ UDC'!D80</f>
        <v>24025</v>
      </c>
      <c r="C38" s="65"/>
      <c r="J38" s="266" t="s">
        <v>553</v>
      </c>
      <c r="K38" s="267" t="s">
        <v>287</v>
      </c>
      <c r="L38" s="268"/>
      <c r="M38" s="268"/>
    </row>
    <row r="39" spans="1:13" x14ac:dyDescent="0.35">
      <c r="A39" s="49" t="s">
        <v>418</v>
      </c>
      <c r="B39" s="63">
        <f>C40</f>
        <v>0</v>
      </c>
      <c r="C39" s="43">
        <v>0</v>
      </c>
      <c r="F39" s="74">
        <f>B40-B39</f>
        <v>76532</v>
      </c>
      <c r="J39" s="269"/>
      <c r="K39" s="270" t="s">
        <v>551</v>
      </c>
      <c r="L39" s="271">
        <v>5931200</v>
      </c>
      <c r="M39" s="272"/>
    </row>
    <row r="40" spans="1:13" x14ac:dyDescent="0.35">
      <c r="A40" s="49" t="s">
        <v>419</v>
      </c>
      <c r="B40" s="63">
        <f>ОФП!B8</f>
        <v>76532</v>
      </c>
      <c r="C40" s="43">
        <v>0</v>
      </c>
      <c r="E40" s="30"/>
      <c r="F40" s="74" t="e">
        <f>F39-B37-B38</f>
        <v>#REF!</v>
      </c>
      <c r="J40" s="266"/>
      <c r="K40" s="267" t="s">
        <v>296</v>
      </c>
      <c r="L40" s="273">
        <v>5931200</v>
      </c>
      <c r="M40" s="268"/>
    </row>
    <row r="41" spans="1:13" x14ac:dyDescent="0.35">
      <c r="E41" s="30"/>
      <c r="F41" s="30"/>
      <c r="J41" s="266"/>
      <c r="K41" s="267" t="s">
        <v>297</v>
      </c>
      <c r="L41" s="273">
        <v>5931200</v>
      </c>
      <c r="M41" s="268"/>
    </row>
    <row r="43" spans="1:13" x14ac:dyDescent="0.35">
      <c r="A43" s="44" t="s">
        <v>424</v>
      </c>
      <c r="B43" s="420" t="s">
        <v>425</v>
      </c>
      <c r="C43" s="420"/>
    </row>
    <row r="44" spans="1:13" x14ac:dyDescent="0.35">
      <c r="A44" s="32" t="s">
        <v>494</v>
      </c>
      <c r="B44" s="32" t="s">
        <v>328</v>
      </c>
    </row>
    <row r="45" spans="1:13" x14ac:dyDescent="0.35">
      <c r="A45" s="45" t="s">
        <v>426</v>
      </c>
      <c r="B45" s="421" t="s">
        <v>282</v>
      </c>
      <c r="C45" s="421"/>
    </row>
    <row r="46" spans="1:13" x14ac:dyDescent="0.35">
      <c r="A46" s="46"/>
    </row>
    <row r="47" spans="1:13" x14ac:dyDescent="0.35">
      <c r="A47" s="46" t="s">
        <v>427</v>
      </c>
    </row>
  </sheetData>
  <mergeCells count="6">
    <mergeCell ref="J9:K9"/>
    <mergeCell ref="B43:C43"/>
    <mergeCell ref="B45:C45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Баланс консолид UDC</vt:lpstr>
      <vt:lpstr>Баланс UDC Astana</vt:lpstr>
      <vt:lpstr>Баланс UDC</vt:lpstr>
      <vt:lpstr>ОПУ консолид UDC</vt:lpstr>
      <vt:lpstr>ОПУ UDC Astana</vt:lpstr>
      <vt:lpstr>ОПУ UDC</vt:lpstr>
      <vt:lpstr>ОФП</vt:lpstr>
      <vt:lpstr>ОПУ и ПСД</vt:lpstr>
      <vt:lpstr>ОИК</vt:lpstr>
      <vt:lpstr>ОДДС прям</vt:lpstr>
      <vt:lpstr>ОДДС</vt:lpstr>
      <vt:lpstr>'Баланс UDC'!Область_печати</vt:lpstr>
      <vt:lpstr>'Баланс UDC Astana'!Область_печати</vt:lpstr>
      <vt:lpstr>'Баланс консолид UDC'!Область_печати</vt:lpstr>
      <vt:lpstr>ОДДС!Область_печати</vt:lpstr>
      <vt:lpstr>'ОПУ UDC'!Область_печати</vt:lpstr>
      <vt:lpstr>'ОПУ UDC Astana'!Область_печати</vt:lpstr>
      <vt:lpstr>'ОПУ консолид UDC'!Область_печати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Bekenev</dc:creator>
  <cp:lastModifiedBy>User</cp:lastModifiedBy>
  <cp:lastPrinted>2024-07-05T09:47:58Z</cp:lastPrinted>
  <dcterms:created xsi:type="dcterms:W3CDTF">2014-05-06T09:21:00Z</dcterms:created>
  <dcterms:modified xsi:type="dcterms:W3CDTF">2024-07-11T05:43:19Z</dcterms:modified>
</cp:coreProperties>
</file>